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601" activeTab="1"/>
  </bookViews>
  <sheets>
    <sheet name="Cover Sheet" sheetId="1" r:id="rId1"/>
    <sheet name="Assumptions" sheetId="2" r:id="rId2"/>
    <sheet name="Sales Proceeds" sheetId="3" r:id="rId3"/>
    <sheet name="Cash Flow" sheetId="4" r:id="rId4"/>
    <sheet name="Debt Schedule" sheetId="5" r:id="rId5"/>
    <sheet name="Notes" sheetId="6" r:id="rId6"/>
  </sheets>
  <definedNames>
    <definedName name="_xlnm.Print_Titles" localSheetId="3">'Cash Flow'!$A:$D</definedName>
    <definedName name="_xlnm.Print_Titles" localSheetId="2">'Sales Proceeds'!$A:$D</definedName>
  </definedNames>
  <calcPr fullCalcOnLoad="1"/>
</workbook>
</file>

<file path=xl/sharedStrings.xml><?xml version="1.0" encoding="utf-8"?>
<sst xmlns="http://schemas.openxmlformats.org/spreadsheetml/2006/main" count="169" uniqueCount="143">
  <si>
    <t>FINANCIAL PROJECTIONS</t>
  </si>
  <si>
    <t>PREPARED BY:</t>
  </si>
  <si>
    <t>ASSUMPTIONS</t>
  </si>
  <si>
    <t>Description</t>
  </si>
  <si>
    <t>Beginning Base Lot Price</t>
  </si>
  <si>
    <t>Sales Without Escalation</t>
  </si>
  <si>
    <t>Total</t>
  </si>
  <si>
    <t>Total Cost</t>
  </si>
  <si>
    <t>Profit</t>
  </si>
  <si>
    <t>IRR</t>
  </si>
  <si>
    <t>Total Acres</t>
  </si>
  <si>
    <t>Density</t>
  </si>
  <si>
    <t>Period Ending</t>
  </si>
  <si>
    <t>Total/Cumulative Lot Absorption</t>
  </si>
  <si>
    <t>Cash Sources:</t>
  </si>
  <si>
    <t>Total Lot Sales Proceeds</t>
  </si>
  <si>
    <t xml:space="preserve">  Total</t>
  </si>
  <si>
    <t>Debt Service:</t>
  </si>
  <si>
    <t>Interest Expense</t>
  </si>
  <si>
    <t>Total Cash Uses</t>
  </si>
  <si>
    <t>Net Cash Flow</t>
  </si>
  <si>
    <t>Cumulative Cash Flow</t>
  </si>
  <si>
    <t>Beginning Balance</t>
  </si>
  <si>
    <t>Ending Balance</t>
  </si>
  <si>
    <t>DEBT SCHEDULE</t>
  </si>
  <si>
    <t>-</t>
  </si>
  <si>
    <t>IRR=</t>
  </si>
  <si>
    <t>Other Revenue</t>
  </si>
  <si>
    <t>+</t>
  </si>
  <si>
    <t>=</t>
  </si>
  <si>
    <t>Total Revenue</t>
  </si>
  <si>
    <t>Total Lots Sales</t>
  </si>
  <si>
    <t>Total Sales With Escalation</t>
  </si>
  <si>
    <t>Number of Lots</t>
  </si>
  <si>
    <t>Return of Capital</t>
  </si>
  <si>
    <t>Profit Payout</t>
  </si>
  <si>
    <t>Operating Account:</t>
  </si>
  <si>
    <t>Quarterly Cash Flow</t>
  </si>
  <si>
    <t>Capital Contributions</t>
  </si>
  <si>
    <t>Appraisal</t>
  </si>
  <si>
    <t>Plus: Debt Issuance for Land</t>
  </si>
  <si>
    <t>Debt Issuance</t>
  </si>
  <si>
    <t>Total/Ending Balance</t>
  </si>
  <si>
    <t>Plus: Debt Issuance for Interest Expense</t>
  </si>
  <si>
    <t xml:space="preserve">Plus: Debt Issuance for Soft Costs </t>
  </si>
  <si>
    <t>Administrative Cost</t>
  </si>
  <si>
    <t>Land Acquisition</t>
  </si>
  <si>
    <t>NOTES:</t>
  </si>
  <si>
    <t>Cash Uses:</t>
  </si>
  <si>
    <t xml:space="preserve">Hard Costs </t>
  </si>
  <si>
    <t>SALES PROCEEDS</t>
  </si>
  <si>
    <t>Plus: Debt Issuance for Hard Costs</t>
  </si>
  <si>
    <t>Total Cash Sources</t>
  </si>
  <si>
    <t>Absorption Per</t>
  </si>
  <si>
    <t>Year</t>
  </si>
  <si>
    <t>Loan Request</t>
  </si>
  <si>
    <t>% Financed</t>
  </si>
  <si>
    <r>
      <t>Total Sales With Escalation</t>
    </r>
    <r>
      <rPr>
        <b/>
        <vertAlign val="superscript"/>
        <sz val="10"/>
        <rFont val="Arial"/>
        <family val="2"/>
      </rPr>
      <t>1</t>
    </r>
  </si>
  <si>
    <t>Less: Unscheduled Amortization</t>
  </si>
  <si>
    <t xml:space="preserve">Loan Origination Fee </t>
  </si>
  <si>
    <t>Legal/Title</t>
  </si>
  <si>
    <t xml:space="preserve">Equity Contribution - Initial Contribution </t>
  </si>
  <si>
    <t>Initial Amount Financed</t>
  </si>
  <si>
    <t xml:space="preserve">Return of Capital </t>
  </si>
  <si>
    <t>Partners Capital (cash basis):</t>
  </si>
  <si>
    <t>Partners Cash Flow</t>
  </si>
  <si>
    <t>Earnest Money</t>
  </si>
  <si>
    <t>Other</t>
  </si>
  <si>
    <t>Hard Costs Paid Prior to A&amp;D Loan</t>
  </si>
  <si>
    <t>Debt Proceeds - Phase 1 A&amp;D Loan</t>
  </si>
  <si>
    <t>Hard Costs - Phase 1</t>
  </si>
  <si>
    <t>Scheduled Amortization - Phase 1 A&amp;D Loan</t>
  </si>
  <si>
    <t>Unscheduled Amortization - Phase 1 A&amp;D Loan</t>
  </si>
  <si>
    <t>Interest Expense - Phase 1 A&amp;D Loan</t>
  </si>
  <si>
    <t xml:space="preserve">Environmental </t>
  </si>
  <si>
    <t>Soft Costs - Phase 1</t>
  </si>
  <si>
    <t xml:space="preserve">Beginning Balance - Phase 1 A&amp;D Loan </t>
  </si>
  <si>
    <t>President's Point Ph 1</t>
  </si>
  <si>
    <t>PRESIDENT'S POINT PH1</t>
  </si>
  <si>
    <t>Phase 1 60's</t>
  </si>
  <si>
    <t>Escalation @ Prime + 1</t>
  </si>
  <si>
    <t>2. Initial takedown is 10 lots, beginning at Substantial Completion. Subsequent quarterly takedowns are 10 lots.</t>
  </si>
  <si>
    <t xml:space="preserve">Lot Takedown Schedule </t>
  </si>
  <si>
    <t>CASH FLOW SOURCES &amp; USES:</t>
  </si>
  <si>
    <r>
      <t>Less: Scheduled Amortization</t>
    </r>
    <r>
      <rPr>
        <vertAlign val="superscript"/>
        <sz val="8"/>
        <color indexed="8"/>
        <rFont val="Arial"/>
        <family val="2"/>
      </rPr>
      <t>9</t>
    </r>
  </si>
  <si>
    <t>Land Acquisition @ $25,000 Per Acre</t>
  </si>
  <si>
    <t>Loan Option 1</t>
  </si>
  <si>
    <t>Loan Option 2</t>
  </si>
  <si>
    <t>Equity Requirement</t>
  </si>
  <si>
    <t>PRESIDENT'S POINT, Phase 1</t>
  </si>
  <si>
    <t xml:space="preserve">3. Interest rate on A&amp;D loan will average Prime. </t>
  </si>
  <si>
    <t>1.  Lot escalation is calculated at Prime + 1% annual rate from Substantial Completion Date. Prime is 7.75% until Jan-2011 where it is expected to be raised 50 basis points.</t>
  </si>
  <si>
    <t>4. The maximum loan allowed by the bank will be the lesser of 80% of cost or 75% appraised value.</t>
  </si>
  <si>
    <t>5.  Assumes no rollback taxes or loan fees are included.</t>
  </si>
  <si>
    <t>6. Assumes Substantial Completion Date is January 1, 2010.</t>
  </si>
  <si>
    <t>7. The A&amp;D loan closes on Jul-1-2009. Development construction begins immediately. Bank draws are made the month following verification of percentage completion.</t>
  </si>
  <si>
    <t>Maximum Loan</t>
  </si>
  <si>
    <t xml:space="preserve">A&amp;D Loan </t>
  </si>
  <si>
    <r>
      <t>Sales with Escalation</t>
    </r>
    <r>
      <rPr>
        <b/>
        <vertAlign val="superscript"/>
        <sz val="10"/>
        <color indexed="8"/>
        <rFont val="Arial"/>
        <family val="2"/>
      </rPr>
      <t>1</t>
    </r>
  </si>
  <si>
    <t>Escalation</t>
  </si>
  <si>
    <t>Input Variables for President's Point</t>
  </si>
  <si>
    <t>Base lot price</t>
  </si>
  <si>
    <t>Lot yield</t>
  </si>
  <si>
    <t>Gross acres</t>
  </si>
  <si>
    <t>Per acre land price</t>
  </si>
  <si>
    <t>Development hard costs per lot</t>
  </si>
  <si>
    <t>Loan origination fee 2%</t>
  </si>
  <si>
    <t>Environmental study</t>
  </si>
  <si>
    <t xml:space="preserve">Total Geotechnical/Materials Testing </t>
  </si>
  <si>
    <t>Survey/Eng./Blue Prints/Planning (Per Lot)</t>
  </si>
  <si>
    <t xml:space="preserve">Per lot closing costs </t>
  </si>
  <si>
    <t>Per lot development/ construction mgmt fee</t>
  </si>
  <si>
    <t>Per month administrative fee</t>
  </si>
  <si>
    <t>Per acre property taxes</t>
  </si>
  <si>
    <t>Total Geotechnical Investigation</t>
  </si>
  <si>
    <t xml:space="preserve">   Survey/Eng./Blue Prints/Planning </t>
  </si>
  <si>
    <t xml:space="preserve">Property Taxes </t>
  </si>
  <si>
    <t>Development Loan Interest Estimate</t>
  </si>
  <si>
    <t>Land Cost</t>
  </si>
  <si>
    <t>Development Hard Cost</t>
  </si>
  <si>
    <t>Development Soft Cost (20% of hard costs)</t>
  </si>
  <si>
    <t>Initial Interest Rate on A&amp;D Loan</t>
  </si>
  <si>
    <t>Total Estimated Development Costs</t>
  </si>
  <si>
    <t>Lender's Collateral Release Rate</t>
  </si>
  <si>
    <t xml:space="preserve">Lender's Collateral Release Rate </t>
  </si>
  <si>
    <t xml:space="preserve">Construction Management Fee </t>
  </si>
  <si>
    <t xml:space="preserve">Lot Closing Costs </t>
  </si>
  <si>
    <t>Interest Rate</t>
  </si>
  <si>
    <t>Average outstanding loan balance</t>
  </si>
  <si>
    <t>Earnest money deposit on land contract</t>
  </si>
  <si>
    <t>8. The bank requires 90% of the sale proceeds for each lot be applied to debt reduction (scheduled amortization). This is the Lender's Collateral Release rate.</t>
  </si>
  <si>
    <t>Per lot property taxes = base lot value x rate @</t>
  </si>
  <si>
    <t>Initial Escalation Rate on Lots</t>
  </si>
  <si>
    <t xml:space="preserve">Estimated Appraised Value of Phase 1  </t>
  </si>
  <si>
    <t xml:space="preserve">Estimated Cost of Phase 1  </t>
  </si>
  <si>
    <t>Landon Parker</t>
  </si>
  <si>
    <t>SC</t>
  </si>
  <si>
    <t>Months of Interest</t>
  </si>
  <si>
    <t>Loan</t>
  </si>
  <si>
    <t>Closing</t>
  </si>
  <si>
    <t>SC &amp; First</t>
  </si>
  <si>
    <t>Takedown</t>
  </si>
  <si>
    <t>Bank Selects Option 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</si>
</sst>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"/>
    <numFmt numFmtId="174" formatCode="&quot;$&quot;#,##0.00"/>
    <numFmt numFmtId="175" formatCode="m/yy"/>
    <numFmt numFmtId="176" formatCode="0.0%"/>
    <numFmt numFmtId="177" formatCode="#,##0.0_);\(#,##0.0\)"/>
    <numFmt numFmtId="178" formatCode="0.0000"/>
    <numFmt numFmtId="179" formatCode="0_);\(0\)"/>
    <numFmt numFmtId="180" formatCode="mmmm\-yy"/>
    <numFmt numFmtId="181" formatCode="[$-409]dddd\,\ mmmm\ dd\,\ yyyy"/>
    <numFmt numFmtId="182" formatCode="[$-409]mmm\-yy;@"/>
    <numFmt numFmtId="183" formatCode="[$-409]mmmm\-yy;@"/>
    <numFmt numFmtId="184" formatCode="mmm\-yyyy"/>
    <numFmt numFmtId="185" formatCode="&quot;$&quot;#,##0.0"/>
    <numFmt numFmtId="186" formatCode="0.0000%"/>
    <numFmt numFmtId="187" formatCode="&quot;$&quot;#,##0.00;[Red]&quot;$&quot;#,##0.00"/>
    <numFmt numFmtId="188" formatCode="#,##0.0"/>
    <numFmt numFmtId="189" formatCode="0.0"/>
    <numFmt numFmtId="190" formatCode="[$-409]h:mm:ss\ AM/PM"/>
    <numFmt numFmtId="191" formatCode="[$-409]dddd\,\ mmmm\ d\,\ yy"/>
    <numFmt numFmtId="192" formatCode="0.000%"/>
    <numFmt numFmtId="193" formatCode="&quot;$&quot;#,##0.0;[Red]&quot;$&quot;#,##0.0"/>
    <numFmt numFmtId="194" formatCode="&quot;$&quot;#,##0;[Red]&quot;$&quot;#,##0"/>
  </numFmts>
  <fonts count="79">
    <font>
      <sz val="10"/>
      <name val="Arial"/>
      <family val="0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color indexed="12"/>
      <name val="Arial"/>
      <family val="2"/>
    </font>
    <font>
      <b/>
      <sz val="6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3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173" fontId="5" fillId="0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17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37" fontId="0" fillId="0" borderId="0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7" fontId="10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5" fillId="0" borderId="12" xfId="0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12" fillId="0" borderId="11" xfId="0" applyNumberFormat="1" applyFont="1" applyBorder="1" applyAlignment="1">
      <alignment horizontal="center"/>
    </xf>
    <xf numFmtId="37" fontId="12" fillId="34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11" fillId="0" borderId="12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14" fillId="0" borderId="0" xfId="0" applyFont="1" applyAlignment="1">
      <alignment horizontal="left" indent="1"/>
    </xf>
    <xf numFmtId="0" fontId="1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horizontal="left" indent="1"/>
    </xf>
    <xf numFmtId="0" fontId="18" fillId="0" borderId="0" xfId="0" applyFont="1" applyBorder="1" applyAlignment="1">
      <alignment/>
    </xf>
    <xf numFmtId="165" fontId="17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3" fillId="0" borderId="18" xfId="0" applyFont="1" applyBorder="1" applyAlignment="1">
      <alignment horizontal="right"/>
    </xf>
    <xf numFmtId="10" fontId="3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 quotePrefix="1">
      <alignment horizontal="right"/>
    </xf>
    <xf numFmtId="0" fontId="0" fillId="0" borderId="0" xfId="0" applyBorder="1" applyAlignment="1" quotePrefix="1">
      <alignment/>
    </xf>
    <xf numFmtId="164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37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4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 indent="1"/>
    </xf>
    <xf numFmtId="9" fontId="18" fillId="0" borderId="0" xfId="0" applyNumberFormat="1" applyFont="1" applyAlignment="1">
      <alignment horizontal="center" wrapText="1"/>
    </xf>
    <xf numFmtId="164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18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9" fillId="0" borderId="0" xfId="0" applyNumberFormat="1" applyFont="1" applyAlignment="1">
      <alignment horizontal="center" wrapText="1"/>
    </xf>
    <xf numFmtId="17" fontId="7" fillId="0" borderId="2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 quotePrefix="1">
      <alignment/>
    </xf>
    <xf numFmtId="164" fontId="3" fillId="0" borderId="11" xfId="0" applyNumberFormat="1" applyFont="1" applyBorder="1" applyAlignment="1">
      <alignment horizontal="center"/>
    </xf>
    <xf numFmtId="37" fontId="3" fillId="0" borderId="15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10" fontId="0" fillId="0" borderId="11" xfId="0" applyNumberFormat="1" applyBorder="1" applyAlignment="1">
      <alignment horizontal="center"/>
    </xf>
    <xf numFmtId="0" fontId="23" fillId="0" borderId="0" xfId="0" applyFont="1" applyFill="1" applyAlignment="1">
      <alignment/>
    </xf>
    <xf numFmtId="9" fontId="0" fillId="0" borderId="0" xfId="0" applyNumberFormat="1" applyBorder="1" applyAlignment="1">
      <alignment horizontal="center"/>
    </xf>
    <xf numFmtId="0" fontId="15" fillId="0" borderId="0" xfId="0" applyFont="1" applyFill="1" applyAlignment="1">
      <alignment/>
    </xf>
    <xf numFmtId="37" fontId="0" fillId="0" borderId="0" xfId="0" applyNumberFormat="1" applyAlignment="1">
      <alignment/>
    </xf>
    <xf numFmtId="173" fontId="0" fillId="0" borderId="0" xfId="0" applyNumberFormat="1" applyAlignment="1">
      <alignment/>
    </xf>
    <xf numFmtId="182" fontId="14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15" fillId="33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0" fontId="69" fillId="0" borderId="0" xfId="0" applyNumberFormat="1" applyFont="1" applyAlignment="1">
      <alignment horizontal="center"/>
    </xf>
    <xf numFmtId="0" fontId="71" fillId="0" borderId="0" xfId="0" applyFont="1" applyBorder="1" applyAlignment="1">
      <alignment horizontal="left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173" fontId="70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173" fontId="70" fillId="0" borderId="0" xfId="0" applyNumberFormat="1" applyFont="1" applyFill="1" applyAlignment="1">
      <alignment horizontal="center"/>
    </xf>
    <xf numFmtId="0" fontId="72" fillId="0" borderId="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164" fontId="72" fillId="0" borderId="10" xfId="0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1" fontId="70" fillId="0" borderId="14" xfId="0" applyNumberFormat="1" applyFont="1" applyBorder="1" applyAlignment="1">
      <alignment horizontal="center"/>
    </xf>
    <xf numFmtId="37" fontId="72" fillId="0" borderId="0" xfId="0" applyNumberFormat="1" applyFont="1" applyAlignment="1">
      <alignment horizontal="center"/>
    </xf>
    <xf numFmtId="37" fontId="70" fillId="0" borderId="0" xfId="0" applyNumberFormat="1" applyFont="1" applyAlignment="1">
      <alignment horizontal="center"/>
    </xf>
    <xf numFmtId="37" fontId="72" fillId="0" borderId="10" xfId="0" applyNumberFormat="1" applyFont="1" applyBorder="1" applyAlignment="1">
      <alignment horizontal="center"/>
    </xf>
    <xf numFmtId="37" fontId="70" fillId="0" borderId="0" xfId="0" applyNumberFormat="1" applyFont="1" applyBorder="1" applyAlignment="1">
      <alignment horizontal="center"/>
    </xf>
    <xf numFmtId="37" fontId="72" fillId="0" borderId="18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37" fontId="70" fillId="0" borderId="11" xfId="0" applyNumberFormat="1" applyFont="1" applyBorder="1" applyAlignment="1">
      <alignment horizontal="center"/>
    </xf>
    <xf numFmtId="0" fontId="70" fillId="0" borderId="0" xfId="0" applyFont="1" applyAlignment="1">
      <alignment horizontal="right"/>
    </xf>
    <xf numFmtId="0" fontId="73" fillId="0" borderId="0" xfId="0" applyFont="1" applyAlignment="1">
      <alignment horizontal="left"/>
    </xf>
    <xf numFmtId="37" fontId="74" fillId="0" borderId="0" xfId="0" applyNumberFormat="1" applyFont="1" applyAlignment="1">
      <alignment horizontal="left"/>
    </xf>
    <xf numFmtId="37" fontId="72" fillId="0" borderId="0" xfId="0" applyNumberFormat="1" applyFont="1" applyBorder="1" applyAlignment="1">
      <alignment horizontal="center"/>
    </xf>
    <xf numFmtId="37" fontId="70" fillId="0" borderId="15" xfId="0" applyNumberFormat="1" applyFont="1" applyBorder="1" applyAlignment="1">
      <alignment horizontal="center"/>
    </xf>
    <xf numFmtId="37" fontId="70" fillId="0" borderId="10" xfId="0" applyNumberFormat="1" applyFont="1" applyBorder="1" applyAlignment="1">
      <alignment horizontal="center"/>
    </xf>
    <xf numFmtId="37" fontId="70" fillId="0" borderId="17" xfId="0" applyNumberFormat="1" applyFont="1" applyBorder="1" applyAlignment="1">
      <alignment horizontal="center"/>
    </xf>
    <xf numFmtId="176" fontId="72" fillId="0" borderId="0" xfId="0" applyNumberFormat="1" applyFont="1" applyAlignment="1">
      <alignment horizontal="center"/>
    </xf>
    <xf numFmtId="37" fontId="70" fillId="0" borderId="14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67" fontId="70" fillId="0" borderId="0" xfId="0" applyNumberFormat="1" applyFont="1" applyBorder="1" applyAlignment="1">
      <alignment horizontal="center"/>
    </xf>
    <xf numFmtId="37" fontId="70" fillId="0" borderId="0" xfId="0" applyNumberFormat="1" applyFont="1" applyBorder="1" applyAlignment="1" quotePrefix="1">
      <alignment horizontal="center"/>
    </xf>
    <xf numFmtId="0" fontId="0" fillId="35" borderId="21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Continuous"/>
    </xf>
    <xf numFmtId="0" fontId="0" fillId="35" borderId="22" xfId="0" applyFill="1" applyBorder="1" applyAlignment="1">
      <alignment horizontal="centerContinuous"/>
    </xf>
    <xf numFmtId="0" fontId="70" fillId="35" borderId="0" xfId="0" applyFont="1" applyFill="1" applyAlignment="1">
      <alignment horizontal="centerContinuous"/>
    </xf>
    <xf numFmtId="0" fontId="70" fillId="35" borderId="0" xfId="0" applyFont="1" applyFill="1" applyAlignment="1">
      <alignment/>
    </xf>
    <xf numFmtId="0" fontId="70" fillId="35" borderId="22" xfId="0" applyFont="1" applyFill="1" applyBorder="1" applyAlignment="1">
      <alignment horizontal="centerContinuous"/>
    </xf>
    <xf numFmtId="0" fontId="75" fillId="35" borderId="0" xfId="0" applyFont="1" applyFill="1" applyAlignment="1">
      <alignment horizontal="centerContinuous"/>
    </xf>
    <xf numFmtId="0" fontId="76" fillId="35" borderId="0" xfId="0" applyFont="1" applyFill="1" applyAlignment="1">
      <alignment horizontal="centerContinuous"/>
    </xf>
    <xf numFmtId="0" fontId="77" fillId="35" borderId="0" xfId="0" applyFont="1" applyFill="1" applyAlignment="1">
      <alignment horizontal="centerContinuous"/>
    </xf>
    <xf numFmtId="172" fontId="78" fillId="35" borderId="22" xfId="0" applyNumberFormat="1" applyFont="1" applyFill="1" applyBorder="1" applyAlignment="1" quotePrefix="1">
      <alignment horizontal="centerContinuous"/>
    </xf>
    <xf numFmtId="0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9" fontId="0" fillId="0" borderId="0" xfId="59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7" fontId="28" fillId="0" borderId="0" xfId="0" applyNumberFormat="1" applyFont="1" applyAlignment="1">
      <alignment horizontal="left"/>
    </xf>
    <xf numFmtId="165" fontId="70" fillId="0" borderId="0" xfId="0" applyNumberFormat="1" applyFont="1" applyAlignment="1">
      <alignment horizontal="center"/>
    </xf>
    <xf numFmtId="165" fontId="72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 horizontal="center"/>
    </xf>
    <xf numFmtId="165" fontId="72" fillId="0" borderId="23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 horizontal="center"/>
    </xf>
    <xf numFmtId="165" fontId="72" fillId="0" borderId="1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70" fillId="0" borderId="0" xfId="0" applyNumberFormat="1" applyFont="1" applyFill="1" applyAlignment="1">
      <alignment horizontal="center"/>
    </xf>
    <xf numFmtId="165" fontId="73" fillId="0" borderId="0" xfId="0" applyNumberFormat="1" applyFont="1" applyAlignment="1">
      <alignment horizontal="center"/>
    </xf>
    <xf numFmtId="165" fontId="69" fillId="0" borderId="0" xfId="0" applyNumberFormat="1" applyFont="1" applyAlignment="1">
      <alignment horizontal="center"/>
    </xf>
    <xf numFmtId="165" fontId="73" fillId="0" borderId="10" xfId="0" applyNumberFormat="1" applyFont="1" applyBorder="1" applyAlignment="1">
      <alignment horizontal="center"/>
    </xf>
    <xf numFmtId="165" fontId="73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94" fontId="0" fillId="0" borderId="0" xfId="0" applyNumberFormat="1" applyAlignment="1">
      <alignment/>
    </xf>
    <xf numFmtId="165" fontId="70" fillId="0" borderId="0" xfId="0" applyNumberFormat="1" applyFont="1" applyBorder="1" applyAlignment="1" quotePrefix="1">
      <alignment horizontal="center"/>
    </xf>
    <xf numFmtId="165" fontId="70" fillId="0" borderId="2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O28"/>
  <sheetViews>
    <sheetView showGridLines="0" zoomScale="60" zoomScaleNormal="60" workbookViewId="0" topLeftCell="A4">
      <selection activeCell="A21" sqref="A21"/>
    </sheetView>
  </sheetViews>
  <sheetFormatPr defaultColWidth="8.8515625" defaultRowHeight="12.75"/>
  <sheetData>
    <row r="11" ht="6.75" customHeight="1"/>
    <row r="12" spans="1:15" ht="24" customHeight="1" thickBo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.75" thickTop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</row>
    <row r="14" spans="1:15" ht="42">
      <c r="A14" s="167" t="s">
        <v>89</v>
      </c>
      <c r="B14" s="162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2"/>
      <c r="O14" s="162"/>
    </row>
    <row r="15" spans="1:15" ht="18">
      <c r="A15" s="168" t="s">
        <v>0</v>
      </c>
      <c r="B15" s="162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2"/>
      <c r="O15" s="162"/>
    </row>
    <row r="16" spans="1:15" ht="15">
      <c r="A16" s="169" t="s">
        <v>1</v>
      </c>
      <c r="B16" s="162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2"/>
      <c r="O16" s="162"/>
    </row>
    <row r="17" spans="1:15" ht="15">
      <c r="A17" s="169" t="s">
        <v>135</v>
      </c>
      <c r="B17" s="16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2"/>
      <c r="O17" s="162"/>
    </row>
    <row r="18" spans="1:15" ht="12">
      <c r="A18" s="161"/>
      <c r="B18" s="161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1"/>
    </row>
    <row r="19" spans="1:15" ht="12.75" thickBot="1">
      <c r="A19" s="161"/>
      <c r="B19" s="161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1"/>
      <c r="O19" s="161"/>
    </row>
    <row r="20" spans="1:15" ht="24" customHeight="1" thickTop="1">
      <c r="A20" s="170">
        <v>39995</v>
      </c>
      <c r="B20" s="163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3"/>
      <c r="O20" s="163"/>
    </row>
    <row r="21" s="1" customFormat="1" ht="12"/>
    <row r="22" s="1" customFormat="1" ht="12"/>
    <row r="23" s="1" customFormat="1" ht="12"/>
    <row r="24" s="1" customFormat="1" ht="12"/>
    <row r="25" s="1" customFormat="1" ht="12"/>
    <row r="26" spans="1:15" s="1" customFormat="1" ht="1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1:15" s="1" customFormat="1" ht="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s="1" customFormat="1" ht="1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</sheetData>
  <sheetProtection/>
  <printOptions/>
  <pageMargins left="1.54" right="0.75" top="1" bottom="1" header="0.5" footer="0.5"/>
  <pageSetup fitToHeight="1" fitToWidth="1" horizontalDpi="600" verticalDpi="600" orientation="landscape" paperSize="5"/>
  <headerFooter alignWithMargins="0">
    <oddFooter>&amp;L&amp;F &amp;A&amp;CPage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.7109375" style="0" customWidth="1"/>
    <col min="2" max="2" width="41.421875" style="0" customWidth="1"/>
    <col min="3" max="4" width="17.00390625" style="0" customWidth="1"/>
    <col min="5" max="5" width="17.8515625" style="0" customWidth="1"/>
    <col min="6" max="7" width="22.7109375" style="0" customWidth="1"/>
    <col min="8" max="8" width="44.421875" style="0" customWidth="1"/>
    <col min="9" max="9" width="13.7109375" style="0" customWidth="1"/>
    <col min="10" max="10" width="15.28125" style="0" customWidth="1"/>
    <col min="11" max="11" width="19.7109375" style="0" customWidth="1"/>
    <col min="12" max="12" width="22.00390625" style="0" customWidth="1"/>
    <col min="13" max="13" width="19.28125" style="0" customWidth="1"/>
    <col min="14" max="16" width="8.8515625" style="0" customWidth="1"/>
    <col min="17" max="20" width="12.00390625" style="0" customWidth="1"/>
  </cols>
  <sheetData>
    <row r="1" spans="1:12" ht="12">
      <c r="A1" s="112"/>
      <c r="B1" s="108" t="s">
        <v>2</v>
      </c>
      <c r="C1" s="2"/>
      <c r="D1" s="2"/>
      <c r="E1" s="2"/>
      <c r="F1" s="2"/>
      <c r="G1" s="2"/>
      <c r="H1" s="2"/>
      <c r="I1" s="2"/>
      <c r="J1" s="2"/>
      <c r="K1" s="2"/>
      <c r="L1" s="111"/>
    </row>
    <row r="2" spans="1:12" ht="12.75" customHeight="1">
      <c r="A2" s="7"/>
      <c r="B2" s="109" t="s">
        <v>3</v>
      </c>
      <c r="L2" s="4"/>
    </row>
    <row r="3" spans="1:12" ht="39" customHeight="1">
      <c r="A3" s="7"/>
      <c r="B3" s="126" t="s">
        <v>78</v>
      </c>
      <c r="C3" s="127" t="s">
        <v>4</v>
      </c>
      <c r="D3" s="128" t="s">
        <v>33</v>
      </c>
      <c r="E3" s="127" t="s">
        <v>5</v>
      </c>
      <c r="F3" s="127" t="s">
        <v>98</v>
      </c>
      <c r="G3" s="5"/>
      <c r="H3" s="6" t="s">
        <v>55</v>
      </c>
      <c r="I3" s="5" t="s">
        <v>6</v>
      </c>
      <c r="J3" s="5" t="s">
        <v>56</v>
      </c>
      <c r="K3" s="5" t="s">
        <v>62</v>
      </c>
      <c r="L3" s="4"/>
    </row>
    <row r="4" spans="1:12" ht="12">
      <c r="A4" s="7"/>
      <c r="B4" s="129"/>
      <c r="C4" s="124"/>
      <c r="D4" s="124"/>
      <c r="E4" s="124"/>
      <c r="F4" s="124"/>
      <c r="G4" s="8" t="s">
        <v>86</v>
      </c>
      <c r="H4" s="17" t="s">
        <v>133</v>
      </c>
      <c r="I4" s="105">
        <f>E6</f>
        <v>3600000</v>
      </c>
      <c r="J4" s="106">
        <v>0.75</v>
      </c>
      <c r="K4" s="105">
        <f>I4*J4</f>
        <v>2700000</v>
      </c>
      <c r="L4" s="4"/>
    </row>
    <row r="5" spans="1:12" ht="12">
      <c r="A5" s="7"/>
      <c r="B5" s="130" t="s">
        <v>79</v>
      </c>
      <c r="C5" s="131">
        <f>C28</f>
        <v>36000</v>
      </c>
      <c r="D5" s="132">
        <f>C29</f>
        <v>100</v>
      </c>
      <c r="E5" s="131">
        <f>C5*D5</f>
        <v>3600000</v>
      </c>
      <c r="F5" s="133">
        <f>'Sales Proceeds'!C14</f>
        <v>3971925</v>
      </c>
      <c r="G5" s="8" t="s">
        <v>87</v>
      </c>
      <c r="H5" s="17" t="s">
        <v>134</v>
      </c>
      <c r="I5" s="105">
        <v>3184447</v>
      </c>
      <c r="J5" s="115">
        <v>0.8</v>
      </c>
      <c r="K5" s="105">
        <f>I5*J5</f>
        <v>2547557.6</v>
      </c>
      <c r="L5" s="4"/>
    </row>
    <row r="6" spans="1:12" ht="12">
      <c r="A6" s="7"/>
      <c r="B6" s="134" t="s">
        <v>6</v>
      </c>
      <c r="C6" s="124"/>
      <c r="D6" s="135">
        <f>SUM(D5:D5)</f>
        <v>100</v>
      </c>
      <c r="E6" s="136">
        <f>SUM(E5:E5)</f>
        <v>3600000</v>
      </c>
      <c r="F6" s="136">
        <f>SUM(F5:F5)</f>
        <v>3971925</v>
      </c>
      <c r="G6" s="11"/>
      <c r="H6" s="3"/>
      <c r="I6" s="3"/>
      <c r="J6" s="3"/>
      <c r="K6" s="3"/>
      <c r="L6" s="4"/>
    </row>
    <row r="7" spans="1:12" ht="12">
      <c r="A7" s="7"/>
      <c r="B7" s="137"/>
      <c r="C7" s="124"/>
      <c r="D7" s="124"/>
      <c r="E7" s="124"/>
      <c r="F7" s="124"/>
      <c r="H7" s="3"/>
      <c r="I7" s="3"/>
      <c r="J7" s="3"/>
      <c r="K7" s="6" t="s">
        <v>96</v>
      </c>
      <c r="L7" s="4"/>
    </row>
    <row r="8" spans="1:12" ht="12">
      <c r="A8" s="7"/>
      <c r="B8" s="138"/>
      <c r="C8" s="124"/>
      <c r="D8" s="124"/>
      <c r="E8" s="124"/>
      <c r="F8" s="124"/>
      <c r="H8" s="6" t="s">
        <v>142</v>
      </c>
      <c r="I8" s="107"/>
      <c r="K8" s="107">
        <f>K5</f>
        <v>2547557.6</v>
      </c>
      <c r="L8" s="4"/>
    </row>
    <row r="9" spans="1:12" ht="12">
      <c r="A9" s="7"/>
      <c r="B9" s="74" t="s">
        <v>57</v>
      </c>
      <c r="C9" s="75" t="s">
        <v>27</v>
      </c>
      <c r="D9" s="75" t="s">
        <v>30</v>
      </c>
      <c r="E9" s="73" t="s">
        <v>7</v>
      </c>
      <c r="F9" s="89" t="s">
        <v>8</v>
      </c>
      <c r="G9" s="118"/>
      <c r="L9" s="4"/>
    </row>
    <row r="10" spans="1:12" ht="12">
      <c r="A10" s="7"/>
      <c r="B10" s="76" t="s">
        <v>28</v>
      </c>
      <c r="C10" s="3"/>
      <c r="D10" s="77" t="s">
        <v>29</v>
      </c>
      <c r="E10" s="77" t="s">
        <v>25</v>
      </c>
      <c r="F10" s="100" t="s">
        <v>29</v>
      </c>
      <c r="K10" s="6" t="s">
        <v>88</v>
      </c>
      <c r="L10" s="4"/>
    </row>
    <row r="11" spans="1:12" ht="12">
      <c r="A11" s="7"/>
      <c r="B11" s="78">
        <f>'Sales Proceeds'!C14</f>
        <v>3971925</v>
      </c>
      <c r="C11" s="11">
        <v>0</v>
      </c>
      <c r="D11" s="11">
        <f>'Sales Proceeds'!C12+C11</f>
        <v>3971925</v>
      </c>
      <c r="E11" s="10">
        <f>-('Cash Flow'!C18+'Cash Flow'!C23+'Cash Flow'!C36+'Cash Flow'!C44)</f>
        <v>3184447.018052244</v>
      </c>
      <c r="F11" s="101">
        <f>D11-E11</f>
        <v>787477.9819477559</v>
      </c>
      <c r="G11" s="8" t="s">
        <v>87</v>
      </c>
      <c r="H11" t="s">
        <v>134</v>
      </c>
      <c r="I11" s="105">
        <f>MIN(I4,I5)</f>
        <v>3184447</v>
      </c>
      <c r="J11" s="115">
        <f>1-(MAX(J4,J5))</f>
        <v>0.19999999999999996</v>
      </c>
      <c r="K11" s="107">
        <f>I11*J11</f>
        <v>636889.3999999999</v>
      </c>
      <c r="L11" s="4"/>
    </row>
    <row r="12" spans="1:12" ht="12">
      <c r="A12" s="7"/>
      <c r="B12" s="59"/>
      <c r="C12" s="58"/>
      <c r="D12" s="58"/>
      <c r="E12" s="15"/>
      <c r="F12" s="102"/>
      <c r="L12" s="121"/>
    </row>
    <row r="13" spans="1:12" ht="12">
      <c r="A13" s="7"/>
      <c r="B13" s="110"/>
      <c r="D13" s="95"/>
      <c r="E13" s="10"/>
      <c r="F13" s="11"/>
      <c r="G13" s="11"/>
      <c r="L13" s="4"/>
    </row>
    <row r="14" spans="1:12" ht="12">
      <c r="A14" s="7"/>
      <c r="B14" s="15"/>
      <c r="C14" s="3"/>
      <c r="D14" s="3"/>
      <c r="E14" s="3"/>
      <c r="F14" s="3"/>
      <c r="G14" s="3"/>
      <c r="L14" s="4"/>
    </row>
    <row r="15" spans="1:12" ht="12">
      <c r="A15" s="7"/>
      <c r="B15" s="74"/>
      <c r="C15" s="75"/>
      <c r="D15" s="75" t="s">
        <v>53</v>
      </c>
      <c r="E15" s="75"/>
      <c r="F15" s="103"/>
      <c r="G15" s="3"/>
      <c r="L15" s="4"/>
    </row>
    <row r="16" spans="1:12" ht="12">
      <c r="A16" s="7"/>
      <c r="B16" s="104" t="s">
        <v>10</v>
      </c>
      <c r="C16" s="79" t="s">
        <v>11</v>
      </c>
      <c r="D16" s="79" t="s">
        <v>54</v>
      </c>
      <c r="E16" s="79"/>
      <c r="F16" s="101" t="s">
        <v>9</v>
      </c>
      <c r="G16" s="3"/>
      <c r="L16" s="4"/>
    </row>
    <row r="17" spans="1:12" ht="12">
      <c r="A17" s="7"/>
      <c r="B17" s="7"/>
      <c r="C17" s="3"/>
      <c r="D17" s="95"/>
      <c r="E17" s="3"/>
      <c r="F17" s="4"/>
      <c r="G17" s="3"/>
      <c r="L17" s="4"/>
    </row>
    <row r="18" spans="1:12" ht="12">
      <c r="A18" s="7"/>
      <c r="B18" s="145">
        <f>C30</f>
        <v>30</v>
      </c>
      <c r="C18" s="80">
        <f>C29/C30</f>
        <v>3.3333333333333335</v>
      </c>
      <c r="D18" s="80">
        <f>(C29/27)*12</f>
        <v>44.44444444444444</v>
      </c>
      <c r="E18" s="84"/>
      <c r="F18" s="113">
        <f>IRR('Cash Flow'!F65:AU65)*12</f>
        <v>0.277870961349703</v>
      </c>
      <c r="G18" s="3"/>
      <c r="L18" s="4"/>
    </row>
    <row r="19" spans="1:12" ht="12">
      <c r="A19" s="7"/>
      <c r="B19" s="14"/>
      <c r="C19" s="15"/>
      <c r="D19" s="15"/>
      <c r="E19" s="15"/>
      <c r="F19" s="16"/>
      <c r="L19" s="4"/>
    </row>
    <row r="20" spans="1:12" ht="12">
      <c r="A20" s="7"/>
      <c r="B20" s="2"/>
      <c r="L20" s="4"/>
    </row>
    <row r="21" spans="1:12" ht="12">
      <c r="A21" s="7"/>
      <c r="B21" s="3"/>
      <c r="L21" s="4"/>
    </row>
    <row r="22" spans="1:12" ht="12">
      <c r="A22" s="7"/>
      <c r="B22" s="3"/>
      <c r="L22" s="4"/>
    </row>
    <row r="23" spans="1:12" ht="12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5" ht="12.75" customHeight="1"/>
    <row r="26" spans="2:7" ht="12">
      <c r="B26" s="17" t="s">
        <v>100</v>
      </c>
      <c r="E26" s="120"/>
      <c r="F26" s="120"/>
      <c r="G26" s="120"/>
    </row>
    <row r="28" spans="2:6" ht="12">
      <c r="B28" t="s">
        <v>101</v>
      </c>
      <c r="C28" s="184">
        <v>36000</v>
      </c>
      <c r="F28" s="17" t="s">
        <v>117</v>
      </c>
    </row>
    <row r="29" spans="2:3" ht="12">
      <c r="B29" t="s">
        <v>102</v>
      </c>
      <c r="C29" s="184">
        <v>100</v>
      </c>
    </row>
    <row r="30" spans="2:7" ht="12">
      <c r="B30" t="s">
        <v>103</v>
      </c>
      <c r="C30" s="184">
        <v>30</v>
      </c>
      <c r="E30" s="17" t="s">
        <v>118</v>
      </c>
      <c r="G30" s="194">
        <f>C30*C31</f>
        <v>750000</v>
      </c>
    </row>
    <row r="31" spans="2:7" ht="12">
      <c r="B31" t="s">
        <v>104</v>
      </c>
      <c r="C31" s="184">
        <v>25000</v>
      </c>
      <c r="E31" s="17" t="s">
        <v>119</v>
      </c>
      <c r="F31" s="146"/>
      <c r="G31" s="194">
        <f>C32*C29</f>
        <v>1900000</v>
      </c>
    </row>
    <row r="32" spans="2:7" ht="12">
      <c r="B32" s="17" t="s">
        <v>105</v>
      </c>
      <c r="C32" s="184">
        <v>19000</v>
      </c>
      <c r="E32" s="17" t="s">
        <v>120</v>
      </c>
      <c r="F32" s="146"/>
      <c r="G32" s="194">
        <f>G31*20%</f>
        <v>380000</v>
      </c>
    </row>
    <row r="33" spans="2:7" ht="12" customHeight="1">
      <c r="B33" t="s">
        <v>39</v>
      </c>
      <c r="C33" s="184">
        <v>5000</v>
      </c>
      <c r="E33" s="17" t="s">
        <v>18</v>
      </c>
      <c r="F33" s="146"/>
      <c r="G33" s="194">
        <f>(G30+G31+G32)*C47*C45</f>
        <v>152636.25</v>
      </c>
    </row>
    <row r="34" spans="2:7" ht="12.75" customHeight="1">
      <c r="B34" t="s">
        <v>106</v>
      </c>
      <c r="C34" s="171"/>
      <c r="F34" s="146"/>
      <c r="G34" s="146"/>
    </row>
    <row r="35" spans="2:7" ht="12">
      <c r="B35" t="s">
        <v>107</v>
      </c>
      <c r="C35" s="184">
        <v>3000</v>
      </c>
      <c r="E35" s="17" t="s">
        <v>122</v>
      </c>
      <c r="F35" s="146"/>
      <c r="G35" s="194">
        <f>SUM(G30:G33)</f>
        <v>3182636.25</v>
      </c>
    </row>
    <row r="36" spans="2:7" ht="12">
      <c r="B36" s="17" t="s">
        <v>108</v>
      </c>
      <c r="C36" s="184">
        <v>13000</v>
      </c>
      <c r="F36" s="146"/>
      <c r="G36" s="146"/>
    </row>
    <row r="37" spans="2:7" ht="12">
      <c r="B37" s="17" t="s">
        <v>109</v>
      </c>
      <c r="C37" s="184">
        <v>1800</v>
      </c>
      <c r="G37" s="146"/>
    </row>
    <row r="38" spans="2:3" ht="12">
      <c r="B38" t="s">
        <v>110</v>
      </c>
      <c r="C38" s="184">
        <v>100</v>
      </c>
    </row>
    <row r="39" spans="2:3" ht="12">
      <c r="B39" s="17" t="s">
        <v>111</v>
      </c>
      <c r="C39" s="184">
        <v>500</v>
      </c>
    </row>
    <row r="40" spans="2:3" ht="12">
      <c r="B40" t="s">
        <v>112</v>
      </c>
      <c r="C40" s="184">
        <v>500</v>
      </c>
    </row>
    <row r="41" spans="2:3" ht="12">
      <c r="B41" t="s">
        <v>60</v>
      </c>
      <c r="C41" s="184">
        <v>10000</v>
      </c>
    </row>
    <row r="42" spans="2:3" ht="12">
      <c r="B42" t="s">
        <v>113</v>
      </c>
      <c r="C42" s="184">
        <v>400</v>
      </c>
    </row>
    <row r="43" spans="2:3" ht="12">
      <c r="B43" t="s">
        <v>131</v>
      </c>
      <c r="C43" s="173">
        <v>0.02</v>
      </c>
    </row>
    <row r="44" spans="2:3" ht="12">
      <c r="B44" s="17" t="s">
        <v>132</v>
      </c>
      <c r="C44" s="173">
        <v>0.0875</v>
      </c>
    </row>
    <row r="45" spans="2:3" ht="12">
      <c r="B45" s="17" t="s">
        <v>121</v>
      </c>
      <c r="C45" s="173">
        <v>0.0775</v>
      </c>
    </row>
    <row r="46" spans="2:3" ht="12">
      <c r="B46" s="17" t="s">
        <v>124</v>
      </c>
      <c r="C46" s="172">
        <v>0.9</v>
      </c>
    </row>
    <row r="47" spans="2:3" ht="12">
      <c r="B47" s="17" t="s">
        <v>128</v>
      </c>
      <c r="C47" s="174">
        <v>0.65</v>
      </c>
    </row>
    <row r="48" spans="2:3" ht="12">
      <c r="B48" s="17" t="s">
        <v>129</v>
      </c>
      <c r="C48" s="184">
        <v>50000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5"/>
  <headerFooter alignWithMargins="0">
    <oddFooter>&amp;L&amp;F &amp;A&amp;CPage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"/>
  <sheetViews>
    <sheetView workbookViewId="0" topLeftCell="A1">
      <pane xSplit="4" topLeftCell="E1" activePane="topRight" state="frozen"/>
      <selection pane="topLeft" activeCell="A1" sqref="A1"/>
      <selection pane="topRight" activeCell="R14" sqref="R14"/>
    </sheetView>
  </sheetViews>
  <sheetFormatPr defaultColWidth="8.8515625" defaultRowHeight="12.75"/>
  <cols>
    <col min="1" max="1" width="36.28125" style="0" bestFit="1" customWidth="1"/>
    <col min="2" max="2" width="1.7109375" style="0" customWidth="1"/>
    <col min="3" max="3" width="12.8515625" style="0" customWidth="1"/>
    <col min="4" max="4" width="1.7109375" style="0" customWidth="1"/>
    <col min="5" max="5" width="15.00390625" style="0" customWidth="1"/>
    <col min="6" max="6" width="13.421875" style="0" customWidth="1"/>
    <col min="7" max="21" width="11.7109375" style="0" customWidth="1"/>
    <col min="22" max="38" width="11.8515625" style="0" customWidth="1"/>
    <col min="39" max="39" width="11.421875" style="0" customWidth="1"/>
    <col min="40" max="41" width="10.421875" style="0" bestFit="1" customWidth="1"/>
    <col min="42" max="42" width="11.140625" style="0" bestFit="1" customWidth="1"/>
    <col min="43" max="43" width="10.28125" style="0" bestFit="1" customWidth="1"/>
    <col min="44" max="44" width="10.421875" style="0" bestFit="1" customWidth="1"/>
    <col min="45" max="45" width="11.140625" style="0" bestFit="1" customWidth="1"/>
    <col min="46" max="46" width="10.421875" style="0" bestFit="1" customWidth="1"/>
    <col min="47" max="47" width="10.00390625" style="0" bestFit="1" customWidth="1"/>
  </cols>
  <sheetData>
    <row r="1" spans="1:22" ht="12">
      <c r="A1" s="21" t="s">
        <v>50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7"/>
    </row>
    <row r="2" spans="1:22" ht="12">
      <c r="A2" s="17"/>
      <c r="B2" s="22"/>
      <c r="C2" s="23"/>
      <c r="D2" s="24"/>
      <c r="F2" s="81"/>
      <c r="G2" s="25"/>
      <c r="H2" s="20"/>
      <c r="I2" s="20"/>
      <c r="J2" s="20"/>
      <c r="K2" s="20"/>
      <c r="L2" s="20"/>
      <c r="M2" s="20"/>
      <c r="N2" s="20"/>
      <c r="O2" s="20"/>
      <c r="P2" s="20"/>
      <c r="Q2" s="20"/>
      <c r="R2" s="175" t="s">
        <v>136</v>
      </c>
      <c r="S2" s="20"/>
      <c r="T2" s="20"/>
      <c r="U2" s="20" t="s">
        <v>99</v>
      </c>
      <c r="V2" s="17"/>
    </row>
    <row r="3" spans="1:23" ht="12">
      <c r="A3" s="17"/>
      <c r="B3" s="26"/>
      <c r="C3" s="20"/>
      <c r="D3" s="27"/>
      <c r="F3" s="197" t="s">
        <v>12</v>
      </c>
      <c r="G3" s="197"/>
      <c r="H3" s="197"/>
      <c r="I3" s="197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3"/>
      <c r="W3" s="3"/>
    </row>
    <row r="4" spans="1:47" ht="12">
      <c r="A4" s="28"/>
      <c r="B4" s="29"/>
      <c r="C4" s="30" t="s">
        <v>6</v>
      </c>
      <c r="D4" s="31"/>
      <c r="E4" s="32"/>
      <c r="F4" s="97">
        <v>39814</v>
      </c>
      <c r="G4" s="97">
        <v>39845</v>
      </c>
      <c r="H4" s="97">
        <v>39873</v>
      </c>
      <c r="I4" s="97">
        <v>39904</v>
      </c>
      <c r="J4" s="97">
        <v>39934</v>
      </c>
      <c r="K4" s="97">
        <v>39965</v>
      </c>
      <c r="L4" s="97">
        <v>39995</v>
      </c>
      <c r="M4" s="97">
        <v>40026</v>
      </c>
      <c r="N4" s="97">
        <v>40057</v>
      </c>
      <c r="O4" s="97">
        <v>40087</v>
      </c>
      <c r="P4" s="97">
        <v>40118</v>
      </c>
      <c r="Q4" s="97">
        <v>40148</v>
      </c>
      <c r="R4" s="97">
        <v>40179</v>
      </c>
      <c r="S4" s="97">
        <v>40210</v>
      </c>
      <c r="T4" s="97">
        <v>40238</v>
      </c>
      <c r="U4" s="97">
        <v>40269</v>
      </c>
      <c r="V4" s="97">
        <v>40299</v>
      </c>
      <c r="W4" s="97">
        <v>40330</v>
      </c>
      <c r="X4" s="97">
        <v>40360</v>
      </c>
      <c r="Y4" s="97">
        <v>40391</v>
      </c>
      <c r="Z4" s="97">
        <v>40422</v>
      </c>
      <c r="AA4" s="97">
        <v>40452</v>
      </c>
      <c r="AB4" s="97">
        <v>40483</v>
      </c>
      <c r="AC4" s="97">
        <v>40513</v>
      </c>
      <c r="AD4" s="97">
        <v>40544</v>
      </c>
      <c r="AE4" s="97">
        <v>40575</v>
      </c>
      <c r="AF4" s="97">
        <v>40603</v>
      </c>
      <c r="AG4" s="97">
        <v>40634</v>
      </c>
      <c r="AH4" s="97">
        <v>40664</v>
      </c>
      <c r="AI4" s="97">
        <v>40695</v>
      </c>
      <c r="AJ4" s="97">
        <v>40725</v>
      </c>
      <c r="AK4" s="97">
        <v>40756</v>
      </c>
      <c r="AL4" s="97">
        <v>40787</v>
      </c>
      <c r="AM4" s="97">
        <v>40817</v>
      </c>
      <c r="AN4" s="97">
        <v>40848</v>
      </c>
      <c r="AO4" s="97">
        <v>40878</v>
      </c>
      <c r="AP4" s="97">
        <v>40909</v>
      </c>
      <c r="AQ4" s="97">
        <v>40940</v>
      </c>
      <c r="AR4" s="97">
        <v>40969</v>
      </c>
      <c r="AS4" s="97">
        <v>41000</v>
      </c>
      <c r="AT4" s="97">
        <v>41030</v>
      </c>
      <c r="AU4" s="97">
        <v>41061</v>
      </c>
    </row>
    <row r="5" spans="1:47" ht="12">
      <c r="A5" s="83" t="s">
        <v>77</v>
      </c>
      <c r="B5" s="26"/>
      <c r="C5" s="20"/>
      <c r="D5" s="27"/>
      <c r="F5" s="124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12">
      <c r="A6" s="34" t="s">
        <v>82</v>
      </c>
      <c r="B6" s="9"/>
      <c r="C6" s="35">
        <f>SUM(F6:AU6)</f>
        <v>100</v>
      </c>
      <c r="D6" s="36"/>
      <c r="E6" s="82"/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10</v>
      </c>
      <c r="S6" s="139">
        <v>0</v>
      </c>
      <c r="T6" s="139">
        <v>0</v>
      </c>
      <c r="U6" s="139">
        <v>10</v>
      </c>
      <c r="V6" s="139">
        <v>0</v>
      </c>
      <c r="W6" s="139">
        <v>0</v>
      </c>
      <c r="X6" s="139">
        <v>10</v>
      </c>
      <c r="Y6" s="139">
        <v>0</v>
      </c>
      <c r="Z6" s="139">
        <v>0</v>
      </c>
      <c r="AA6" s="139">
        <v>10</v>
      </c>
      <c r="AB6" s="139">
        <v>0</v>
      </c>
      <c r="AC6" s="139">
        <v>0</v>
      </c>
      <c r="AD6" s="139">
        <v>10</v>
      </c>
      <c r="AE6" s="139">
        <v>0</v>
      </c>
      <c r="AF6" s="139">
        <v>0</v>
      </c>
      <c r="AG6" s="139">
        <v>10</v>
      </c>
      <c r="AH6" s="139">
        <v>0</v>
      </c>
      <c r="AI6" s="139">
        <v>0</v>
      </c>
      <c r="AJ6" s="139">
        <v>10</v>
      </c>
      <c r="AK6" s="139">
        <v>0</v>
      </c>
      <c r="AL6" s="139">
        <v>0</v>
      </c>
      <c r="AM6" s="139">
        <v>10</v>
      </c>
      <c r="AN6" s="139">
        <v>0</v>
      </c>
      <c r="AO6" s="139">
        <v>0</v>
      </c>
      <c r="AP6" s="139">
        <v>10</v>
      </c>
      <c r="AQ6" s="139">
        <v>0</v>
      </c>
      <c r="AR6" s="139">
        <v>0</v>
      </c>
      <c r="AS6" s="139">
        <v>10</v>
      </c>
      <c r="AT6" s="139">
        <v>0</v>
      </c>
      <c r="AU6" s="139">
        <v>0</v>
      </c>
    </row>
    <row r="7" spans="1:47" ht="12">
      <c r="A7" s="37" t="s">
        <v>13</v>
      </c>
      <c r="B7" s="9"/>
      <c r="C7" s="13">
        <f>C6</f>
        <v>100</v>
      </c>
      <c r="D7" s="36"/>
      <c r="E7" s="38"/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f aca="true" t="shared" si="0" ref="R7:AU7">R6+Q7</f>
        <v>10</v>
      </c>
      <c r="S7" s="140">
        <f t="shared" si="0"/>
        <v>10</v>
      </c>
      <c r="T7" s="140">
        <f t="shared" si="0"/>
        <v>10</v>
      </c>
      <c r="U7" s="140">
        <f t="shared" si="0"/>
        <v>20</v>
      </c>
      <c r="V7" s="140">
        <f t="shared" si="0"/>
        <v>20</v>
      </c>
      <c r="W7" s="140">
        <f t="shared" si="0"/>
        <v>20</v>
      </c>
      <c r="X7" s="140">
        <f t="shared" si="0"/>
        <v>30</v>
      </c>
      <c r="Y7" s="140">
        <f t="shared" si="0"/>
        <v>30</v>
      </c>
      <c r="Z7" s="140">
        <f t="shared" si="0"/>
        <v>30</v>
      </c>
      <c r="AA7" s="140">
        <f t="shared" si="0"/>
        <v>40</v>
      </c>
      <c r="AB7" s="140">
        <f t="shared" si="0"/>
        <v>40</v>
      </c>
      <c r="AC7" s="140">
        <f t="shared" si="0"/>
        <v>40</v>
      </c>
      <c r="AD7" s="140">
        <f t="shared" si="0"/>
        <v>50</v>
      </c>
      <c r="AE7" s="140">
        <f t="shared" si="0"/>
        <v>50</v>
      </c>
      <c r="AF7" s="140">
        <f t="shared" si="0"/>
        <v>50</v>
      </c>
      <c r="AG7" s="140">
        <f t="shared" si="0"/>
        <v>60</v>
      </c>
      <c r="AH7" s="140">
        <f t="shared" si="0"/>
        <v>60</v>
      </c>
      <c r="AI7" s="140">
        <f t="shared" si="0"/>
        <v>60</v>
      </c>
      <c r="AJ7" s="140">
        <f t="shared" si="0"/>
        <v>70</v>
      </c>
      <c r="AK7" s="140">
        <f t="shared" si="0"/>
        <v>70</v>
      </c>
      <c r="AL7" s="140">
        <f t="shared" si="0"/>
        <v>70</v>
      </c>
      <c r="AM7" s="140">
        <f t="shared" si="0"/>
        <v>80</v>
      </c>
      <c r="AN7" s="140">
        <f t="shared" si="0"/>
        <v>80</v>
      </c>
      <c r="AO7" s="140">
        <f t="shared" si="0"/>
        <v>80</v>
      </c>
      <c r="AP7" s="140">
        <f t="shared" si="0"/>
        <v>90</v>
      </c>
      <c r="AQ7" s="140">
        <f t="shared" si="0"/>
        <v>90</v>
      </c>
      <c r="AR7" s="140">
        <f t="shared" si="0"/>
        <v>90</v>
      </c>
      <c r="AS7" s="140">
        <f t="shared" si="0"/>
        <v>100</v>
      </c>
      <c r="AT7" s="140">
        <f t="shared" si="0"/>
        <v>100</v>
      </c>
      <c r="AU7" s="140">
        <f t="shared" si="0"/>
        <v>100</v>
      </c>
    </row>
    <row r="8" spans="1:47" ht="12">
      <c r="A8" s="37"/>
      <c r="B8" s="9"/>
      <c r="C8" s="39"/>
      <c r="D8" s="36"/>
      <c r="E8" s="38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</row>
    <row r="9" spans="1:47" ht="12">
      <c r="A9" s="83" t="s">
        <v>77</v>
      </c>
      <c r="B9" s="9"/>
      <c r="C9" s="39"/>
      <c r="D9" s="36"/>
      <c r="E9" s="177" t="s">
        <v>137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>
        <v>0</v>
      </c>
      <c r="S9" s="140"/>
      <c r="T9" s="140"/>
      <c r="U9" s="140">
        <v>3</v>
      </c>
      <c r="V9" s="140"/>
      <c r="W9" s="140"/>
      <c r="X9" s="140">
        <v>6</v>
      </c>
      <c r="Y9" s="140"/>
      <c r="Z9" s="140"/>
      <c r="AA9" s="140">
        <v>9</v>
      </c>
      <c r="AB9" s="140"/>
      <c r="AC9" s="140"/>
      <c r="AD9" s="140">
        <v>12</v>
      </c>
      <c r="AE9" s="140"/>
      <c r="AF9" s="140"/>
      <c r="AG9" s="140">
        <v>15</v>
      </c>
      <c r="AH9" s="140"/>
      <c r="AI9" s="140"/>
      <c r="AJ9" s="140">
        <v>18</v>
      </c>
      <c r="AK9" s="140"/>
      <c r="AL9" s="140"/>
      <c r="AM9" s="140">
        <v>21</v>
      </c>
      <c r="AN9" s="140"/>
      <c r="AO9" s="140"/>
      <c r="AP9" s="140">
        <v>24</v>
      </c>
      <c r="AQ9" s="140"/>
      <c r="AR9" s="140"/>
      <c r="AS9" s="140">
        <v>27</v>
      </c>
      <c r="AT9" s="140"/>
      <c r="AU9" s="140"/>
    </row>
    <row r="10" spans="1:47" ht="12">
      <c r="A10" s="40" t="s">
        <v>31</v>
      </c>
      <c r="B10" s="9"/>
      <c r="C10" s="35">
        <f>SUM(F10:AU10)</f>
        <v>3600000</v>
      </c>
      <c r="D10" s="36"/>
      <c r="E10" s="38"/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f>Assumptions!C28*R6</f>
        <v>360000</v>
      </c>
      <c r="S10" s="141">
        <v>0</v>
      </c>
      <c r="T10" s="141">
        <v>0</v>
      </c>
      <c r="U10" s="141">
        <f>Assumptions!C28*U6</f>
        <v>360000</v>
      </c>
      <c r="V10" s="141">
        <v>0</v>
      </c>
      <c r="W10" s="141">
        <v>0</v>
      </c>
      <c r="X10" s="141">
        <f>Assumptions!C28*X6</f>
        <v>360000</v>
      </c>
      <c r="Y10" s="141">
        <v>0</v>
      </c>
      <c r="Z10" s="141">
        <v>0</v>
      </c>
      <c r="AA10" s="141">
        <f>Assumptions!C28*AA6</f>
        <v>360000</v>
      </c>
      <c r="AB10" s="141">
        <v>0</v>
      </c>
      <c r="AC10" s="141">
        <v>0</v>
      </c>
      <c r="AD10" s="141">
        <f>Assumptions!C28*AD6</f>
        <v>360000</v>
      </c>
      <c r="AE10" s="141">
        <v>0</v>
      </c>
      <c r="AF10" s="141">
        <v>0</v>
      </c>
      <c r="AG10" s="141">
        <f>Assumptions!C28*AG6</f>
        <v>360000</v>
      </c>
      <c r="AH10" s="141">
        <v>0</v>
      </c>
      <c r="AI10" s="141">
        <v>0</v>
      </c>
      <c r="AJ10" s="141">
        <f>Assumptions!C28*AJ6</f>
        <v>360000</v>
      </c>
      <c r="AK10" s="141">
        <v>0</v>
      </c>
      <c r="AL10" s="141">
        <v>0</v>
      </c>
      <c r="AM10" s="141">
        <f>Assumptions!C28*AM6</f>
        <v>360000</v>
      </c>
      <c r="AN10" s="141">
        <v>0</v>
      </c>
      <c r="AO10" s="141">
        <v>0</v>
      </c>
      <c r="AP10" s="141">
        <f>Assumptions!C28*AP6</f>
        <v>360000</v>
      </c>
      <c r="AQ10" s="141">
        <v>0</v>
      </c>
      <c r="AR10" s="141">
        <v>0</v>
      </c>
      <c r="AS10" s="141">
        <f>Assumptions!C28*AS6</f>
        <v>360000</v>
      </c>
      <c r="AT10" s="141">
        <v>0</v>
      </c>
      <c r="AU10" s="141">
        <v>0</v>
      </c>
    </row>
    <row r="11" spans="1:47" ht="12">
      <c r="A11" s="40" t="s">
        <v>80</v>
      </c>
      <c r="B11" s="9"/>
      <c r="C11" s="35">
        <f>SUM(F11:AU11)</f>
        <v>371925</v>
      </c>
      <c r="D11" s="36"/>
      <c r="E11" s="38"/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f>R10*Assumptions!C44*('Sales Proceeds'!R9/12)</f>
        <v>0</v>
      </c>
      <c r="S11" s="141">
        <v>0</v>
      </c>
      <c r="T11" s="141">
        <v>0</v>
      </c>
      <c r="U11" s="141">
        <f>U10*Assumptions!C44*('Sales Proceeds'!U9/12)</f>
        <v>7874.999999999999</v>
      </c>
      <c r="V11" s="141">
        <v>0</v>
      </c>
      <c r="W11" s="141">
        <v>0</v>
      </c>
      <c r="X11" s="141">
        <f>X10*Assumptions!C44*('Sales Proceeds'!X9/12)</f>
        <v>15749.999999999998</v>
      </c>
      <c r="Y11" s="141">
        <v>0</v>
      </c>
      <c r="Z11" s="141">
        <v>0</v>
      </c>
      <c r="AA11" s="141">
        <f>AA10*Assumptions!C44*('Sales Proceeds'!AA9/12)</f>
        <v>23624.999999999996</v>
      </c>
      <c r="AB11" s="141">
        <v>0</v>
      </c>
      <c r="AC11" s="141">
        <v>0</v>
      </c>
      <c r="AD11" s="141">
        <f>AD10*(Assumptions!C44+0.5%)*('Sales Proceeds'!AD9/12)</f>
        <v>33300</v>
      </c>
      <c r="AE11" s="141">
        <v>0</v>
      </c>
      <c r="AF11" s="141">
        <v>0</v>
      </c>
      <c r="AG11" s="141">
        <f>AG10*(Assumptions!C44+0.5%)*('Sales Proceeds'!AG9/12)</f>
        <v>41625</v>
      </c>
      <c r="AH11" s="141">
        <v>0</v>
      </c>
      <c r="AI11" s="141">
        <v>0</v>
      </c>
      <c r="AJ11" s="141">
        <f>AJ10*(Assumptions!C44+0.5%)*('Sales Proceeds'!AJ9/12)</f>
        <v>49950</v>
      </c>
      <c r="AK11" s="141">
        <v>0</v>
      </c>
      <c r="AL11" s="141">
        <v>0</v>
      </c>
      <c r="AM11" s="141">
        <f>AM10*(Assumptions!C44+0.5%)*('Sales Proceeds'!AM9/12)</f>
        <v>58275</v>
      </c>
      <c r="AN11" s="141">
        <v>0</v>
      </c>
      <c r="AO11" s="141">
        <v>0</v>
      </c>
      <c r="AP11" s="141">
        <f>AP10*(Assumptions!C44+0.5%)*('Sales Proceeds'!AP9/12)</f>
        <v>66600</v>
      </c>
      <c r="AQ11" s="141">
        <v>0</v>
      </c>
      <c r="AR11" s="141">
        <v>0</v>
      </c>
      <c r="AS11" s="141">
        <f>AS10*(Assumptions!C44+0.5%)*('Sales Proceeds'!AS9/12)</f>
        <v>74925</v>
      </c>
      <c r="AT11" s="141">
        <v>0</v>
      </c>
      <c r="AU11" s="141">
        <v>0</v>
      </c>
    </row>
    <row r="12" spans="1:47" ht="12">
      <c r="A12" s="83" t="s">
        <v>30</v>
      </c>
      <c r="B12" s="9"/>
      <c r="C12" s="13">
        <f>SUM(F12:AU12)</f>
        <v>3971925</v>
      </c>
      <c r="D12" s="36"/>
      <c r="E12" s="38"/>
      <c r="F12" s="142">
        <f aca="true" t="shared" si="1" ref="F12:Q12">SUM(F10+F11)</f>
        <v>0</v>
      </c>
      <c r="G12" s="142">
        <f t="shared" si="1"/>
        <v>0</v>
      </c>
      <c r="H12" s="142">
        <f t="shared" si="1"/>
        <v>0</v>
      </c>
      <c r="I12" s="142">
        <f t="shared" si="1"/>
        <v>0</v>
      </c>
      <c r="J12" s="142">
        <f t="shared" si="1"/>
        <v>0</v>
      </c>
      <c r="K12" s="142">
        <f t="shared" si="1"/>
        <v>0</v>
      </c>
      <c r="L12" s="142">
        <f t="shared" si="1"/>
        <v>0</v>
      </c>
      <c r="M12" s="142">
        <f t="shared" si="1"/>
        <v>0</v>
      </c>
      <c r="N12" s="142">
        <f t="shared" si="1"/>
        <v>0</v>
      </c>
      <c r="O12" s="142">
        <f t="shared" si="1"/>
        <v>0</v>
      </c>
      <c r="P12" s="142">
        <f t="shared" si="1"/>
        <v>0</v>
      </c>
      <c r="Q12" s="142">
        <f t="shared" si="1"/>
        <v>0</v>
      </c>
      <c r="R12" s="142">
        <f>SUM(R10+R11)</f>
        <v>360000</v>
      </c>
      <c r="S12" s="142">
        <f aca="true" t="shared" si="2" ref="S12:Y12">SUM(S10+S11)</f>
        <v>0</v>
      </c>
      <c r="T12" s="142">
        <f t="shared" si="2"/>
        <v>0</v>
      </c>
      <c r="U12" s="142">
        <f t="shared" si="2"/>
        <v>367875</v>
      </c>
      <c r="V12" s="142">
        <f t="shared" si="2"/>
        <v>0</v>
      </c>
      <c r="W12" s="142">
        <f t="shared" si="2"/>
        <v>0</v>
      </c>
      <c r="X12" s="142">
        <f t="shared" si="2"/>
        <v>375750</v>
      </c>
      <c r="Y12" s="142">
        <f t="shared" si="2"/>
        <v>0</v>
      </c>
      <c r="Z12" s="142">
        <f aca="true" t="shared" si="3" ref="Z12:AU12">SUM(Z10+Z11)</f>
        <v>0</v>
      </c>
      <c r="AA12" s="142">
        <f t="shared" si="3"/>
        <v>383625</v>
      </c>
      <c r="AB12" s="142">
        <f t="shared" si="3"/>
        <v>0</v>
      </c>
      <c r="AC12" s="142">
        <f t="shared" si="3"/>
        <v>0</v>
      </c>
      <c r="AD12" s="142">
        <f t="shared" si="3"/>
        <v>393300</v>
      </c>
      <c r="AE12" s="142">
        <f t="shared" si="3"/>
        <v>0</v>
      </c>
      <c r="AF12" s="142">
        <f t="shared" si="3"/>
        <v>0</v>
      </c>
      <c r="AG12" s="142">
        <f t="shared" si="3"/>
        <v>401625</v>
      </c>
      <c r="AH12" s="142">
        <f t="shared" si="3"/>
        <v>0</v>
      </c>
      <c r="AI12" s="142">
        <f t="shared" si="3"/>
        <v>0</v>
      </c>
      <c r="AJ12" s="142">
        <f t="shared" si="3"/>
        <v>409950</v>
      </c>
      <c r="AK12" s="142">
        <f t="shared" si="3"/>
        <v>0</v>
      </c>
      <c r="AL12" s="142">
        <f t="shared" si="3"/>
        <v>0</v>
      </c>
      <c r="AM12" s="142">
        <f t="shared" si="3"/>
        <v>418275</v>
      </c>
      <c r="AN12" s="142">
        <f t="shared" si="3"/>
        <v>0</v>
      </c>
      <c r="AO12" s="142">
        <f t="shared" si="3"/>
        <v>0</v>
      </c>
      <c r="AP12" s="142">
        <f t="shared" si="3"/>
        <v>426600</v>
      </c>
      <c r="AQ12" s="142">
        <f t="shared" si="3"/>
        <v>0</v>
      </c>
      <c r="AR12" s="142">
        <f t="shared" si="3"/>
        <v>0</v>
      </c>
      <c r="AS12" s="142">
        <f t="shared" si="3"/>
        <v>434925</v>
      </c>
      <c r="AT12" s="142">
        <f t="shared" si="3"/>
        <v>0</v>
      </c>
      <c r="AU12" s="142">
        <f t="shared" si="3"/>
        <v>0</v>
      </c>
    </row>
    <row r="13" spans="1:47" ht="12">
      <c r="A13" s="40"/>
      <c r="B13" s="9"/>
      <c r="C13" s="35"/>
      <c r="D13" s="36"/>
      <c r="E13" s="38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</row>
    <row r="14" spans="1:47" ht="12">
      <c r="A14" s="37" t="s">
        <v>32</v>
      </c>
      <c r="B14" s="9"/>
      <c r="C14" s="39">
        <f>SUM(F14:AU14)</f>
        <v>3971925</v>
      </c>
      <c r="D14" s="36"/>
      <c r="E14" s="38"/>
      <c r="F14" s="144">
        <f aca="true" t="shared" si="4" ref="F14:Q14">F12</f>
        <v>0</v>
      </c>
      <c r="G14" s="144">
        <f t="shared" si="4"/>
        <v>0</v>
      </c>
      <c r="H14" s="144">
        <f t="shared" si="4"/>
        <v>0</v>
      </c>
      <c r="I14" s="144">
        <f t="shared" si="4"/>
        <v>0</v>
      </c>
      <c r="J14" s="144">
        <f t="shared" si="4"/>
        <v>0</v>
      </c>
      <c r="K14" s="144">
        <f t="shared" si="4"/>
        <v>0</v>
      </c>
      <c r="L14" s="144">
        <f t="shared" si="4"/>
        <v>0</v>
      </c>
      <c r="M14" s="144">
        <f t="shared" si="4"/>
        <v>0</v>
      </c>
      <c r="N14" s="144">
        <f t="shared" si="4"/>
        <v>0</v>
      </c>
      <c r="O14" s="144">
        <f t="shared" si="4"/>
        <v>0</v>
      </c>
      <c r="P14" s="144">
        <f t="shared" si="4"/>
        <v>0</v>
      </c>
      <c r="Q14" s="144">
        <f t="shared" si="4"/>
        <v>0</v>
      </c>
      <c r="R14" s="144">
        <f>R12</f>
        <v>360000</v>
      </c>
      <c r="S14" s="144">
        <f aca="true" t="shared" si="5" ref="S14:AU14">S12</f>
        <v>0</v>
      </c>
      <c r="T14" s="144">
        <f t="shared" si="5"/>
        <v>0</v>
      </c>
      <c r="U14" s="144">
        <f t="shared" si="5"/>
        <v>367875</v>
      </c>
      <c r="V14" s="144">
        <f t="shared" si="5"/>
        <v>0</v>
      </c>
      <c r="W14" s="144">
        <f t="shared" si="5"/>
        <v>0</v>
      </c>
      <c r="X14" s="144">
        <f t="shared" si="5"/>
        <v>375750</v>
      </c>
      <c r="Y14" s="144">
        <f t="shared" si="5"/>
        <v>0</v>
      </c>
      <c r="Z14" s="144">
        <f t="shared" si="5"/>
        <v>0</v>
      </c>
      <c r="AA14" s="144">
        <f t="shared" si="5"/>
        <v>383625</v>
      </c>
      <c r="AB14" s="144">
        <f t="shared" si="5"/>
        <v>0</v>
      </c>
      <c r="AC14" s="144">
        <f t="shared" si="5"/>
        <v>0</v>
      </c>
      <c r="AD14" s="144">
        <f t="shared" si="5"/>
        <v>393300</v>
      </c>
      <c r="AE14" s="144">
        <f t="shared" si="5"/>
        <v>0</v>
      </c>
      <c r="AF14" s="144">
        <f t="shared" si="5"/>
        <v>0</v>
      </c>
      <c r="AG14" s="144">
        <f t="shared" si="5"/>
        <v>401625</v>
      </c>
      <c r="AH14" s="144">
        <f t="shared" si="5"/>
        <v>0</v>
      </c>
      <c r="AI14" s="144">
        <f t="shared" si="5"/>
        <v>0</v>
      </c>
      <c r="AJ14" s="144">
        <f t="shared" si="5"/>
        <v>409950</v>
      </c>
      <c r="AK14" s="144">
        <f t="shared" si="5"/>
        <v>0</v>
      </c>
      <c r="AL14" s="144">
        <f t="shared" si="5"/>
        <v>0</v>
      </c>
      <c r="AM14" s="144">
        <f t="shared" si="5"/>
        <v>418275</v>
      </c>
      <c r="AN14" s="144">
        <f t="shared" si="5"/>
        <v>0</v>
      </c>
      <c r="AO14" s="144">
        <f t="shared" si="5"/>
        <v>0</v>
      </c>
      <c r="AP14" s="144">
        <f t="shared" si="5"/>
        <v>426600</v>
      </c>
      <c r="AQ14" s="144">
        <f t="shared" si="5"/>
        <v>0</v>
      </c>
      <c r="AR14" s="144">
        <f t="shared" si="5"/>
        <v>0</v>
      </c>
      <c r="AS14" s="144">
        <f t="shared" si="5"/>
        <v>434925</v>
      </c>
      <c r="AT14" s="144">
        <f t="shared" si="5"/>
        <v>0</v>
      </c>
      <c r="AU14" s="144">
        <f t="shared" si="5"/>
        <v>0</v>
      </c>
    </row>
    <row r="15" spans="1:4" ht="12.75" customHeight="1">
      <c r="A15" s="15"/>
      <c r="B15" s="14"/>
      <c r="C15" s="15"/>
      <c r="D15" s="16"/>
    </row>
    <row r="18" spans="6:9" ht="12">
      <c r="F18" s="119"/>
      <c r="G18" s="119"/>
      <c r="H18" s="119"/>
      <c r="I18" s="119"/>
    </row>
  </sheetData>
  <sheetProtection/>
  <mergeCells count="4">
    <mergeCell ref="F3:I3"/>
    <mergeCell ref="J3:M3"/>
    <mergeCell ref="N3:Q3"/>
    <mergeCell ref="R3:U3"/>
  </mergeCells>
  <printOptions/>
  <pageMargins left="0.75" right="0.75" top="1" bottom="1" header="0.5" footer="0.5"/>
  <pageSetup fitToWidth="2" horizontalDpi="600" verticalDpi="600" orientation="landscape" paperSize="5" scale="47"/>
  <headerFooter alignWithMargins="0">
    <oddFooter>&amp;L&amp;F &amp;A&amp;CPage &amp;P of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71"/>
  <sheetViews>
    <sheetView workbookViewId="0" topLeftCell="A22">
      <pane xSplit="3" topLeftCell="AN1" activePane="topRight" state="frozen"/>
      <selection pane="topLeft" activeCell="A14" sqref="A14"/>
      <selection pane="topRight" activeCell="AU39" sqref="AU39"/>
    </sheetView>
  </sheetViews>
  <sheetFormatPr defaultColWidth="8.8515625" defaultRowHeight="12.75"/>
  <cols>
    <col min="1" max="1" width="43.140625" style="0" bestFit="1" customWidth="1"/>
    <col min="2" max="2" width="1.7109375" style="0" customWidth="1"/>
    <col min="3" max="3" width="12.8515625" style="0" customWidth="1"/>
    <col min="4" max="4" width="1.7109375" style="0" customWidth="1"/>
    <col min="5" max="5" width="15.421875" style="0" customWidth="1"/>
    <col min="6" max="6" width="16.140625" style="0" customWidth="1"/>
    <col min="7" max="7" width="17.421875" style="0" customWidth="1"/>
    <col min="8" max="8" width="13.28125" style="0" customWidth="1"/>
    <col min="9" max="21" width="11.7109375" style="0" customWidth="1"/>
    <col min="22" max="48" width="11.8515625" style="0" customWidth="1"/>
  </cols>
  <sheetData>
    <row r="1" spans="1:21" ht="12">
      <c r="A1" s="21" t="s">
        <v>83</v>
      </c>
      <c r="C1" s="18"/>
      <c r="D1" s="18"/>
      <c r="E1" s="18"/>
      <c r="F1" s="18"/>
      <c r="G1" s="18"/>
      <c r="H1" s="18"/>
      <c r="I1" s="18"/>
      <c r="J1" s="18"/>
      <c r="K1" s="18"/>
      <c r="L1" s="176" t="s">
        <v>138</v>
      </c>
      <c r="M1" s="18"/>
      <c r="N1" s="18"/>
      <c r="O1" s="18"/>
      <c r="P1" s="18"/>
      <c r="Q1" s="18"/>
      <c r="R1" s="176" t="s">
        <v>140</v>
      </c>
      <c r="S1" s="18"/>
      <c r="T1" s="18"/>
      <c r="U1" s="18"/>
    </row>
    <row r="2" spans="1:21" ht="12">
      <c r="A2" s="17"/>
      <c r="B2" s="22"/>
      <c r="C2" s="23"/>
      <c r="D2" s="24"/>
      <c r="F2" s="25" t="s">
        <v>12</v>
      </c>
      <c r="G2" s="25"/>
      <c r="H2" s="20"/>
      <c r="I2" s="20"/>
      <c r="J2" s="20"/>
      <c r="K2" s="20"/>
      <c r="L2" s="175" t="s">
        <v>139</v>
      </c>
      <c r="M2" s="20"/>
      <c r="N2" s="20"/>
      <c r="O2" s="20"/>
      <c r="P2" s="20"/>
      <c r="Q2" s="20"/>
      <c r="R2" s="175" t="s">
        <v>141</v>
      </c>
      <c r="S2" s="20"/>
      <c r="T2" s="20"/>
      <c r="U2" s="20"/>
    </row>
    <row r="3" spans="1:47" ht="12">
      <c r="A3" s="83" t="s">
        <v>77</v>
      </c>
      <c r="B3" s="29"/>
      <c r="C3" s="30" t="s">
        <v>6</v>
      </c>
      <c r="D3" s="31"/>
      <c r="E3" s="32"/>
      <c r="F3" s="97">
        <v>39814</v>
      </c>
      <c r="G3" s="97">
        <v>39845</v>
      </c>
      <c r="H3" s="97">
        <v>39873</v>
      </c>
      <c r="I3" s="97">
        <v>39904</v>
      </c>
      <c r="J3" s="97">
        <v>39934</v>
      </c>
      <c r="K3" s="97">
        <v>39965</v>
      </c>
      <c r="L3" s="97">
        <v>39995</v>
      </c>
      <c r="M3" s="97">
        <v>40026</v>
      </c>
      <c r="N3" s="97">
        <v>40057</v>
      </c>
      <c r="O3" s="97">
        <v>40087</v>
      </c>
      <c r="P3" s="97">
        <v>40118</v>
      </c>
      <c r="Q3" s="97">
        <v>40148</v>
      </c>
      <c r="R3" s="97">
        <v>40179</v>
      </c>
      <c r="S3" s="97">
        <v>40210</v>
      </c>
      <c r="T3" s="97">
        <v>40238</v>
      </c>
      <c r="U3" s="97">
        <v>40269</v>
      </c>
      <c r="V3" s="97">
        <v>40299</v>
      </c>
      <c r="W3" s="97">
        <v>40330</v>
      </c>
      <c r="X3" s="97">
        <v>40360</v>
      </c>
      <c r="Y3" s="97">
        <v>40391</v>
      </c>
      <c r="Z3" s="97">
        <v>40422</v>
      </c>
      <c r="AA3" s="97">
        <v>40452</v>
      </c>
      <c r="AB3" s="97">
        <v>40483</v>
      </c>
      <c r="AC3" s="97">
        <v>40513</v>
      </c>
      <c r="AD3" s="97">
        <v>40544</v>
      </c>
      <c r="AE3" s="97">
        <v>40575</v>
      </c>
      <c r="AF3" s="97">
        <v>40603</v>
      </c>
      <c r="AG3" s="97">
        <v>40634</v>
      </c>
      <c r="AH3" s="97">
        <v>40664</v>
      </c>
      <c r="AI3" s="97">
        <v>40695</v>
      </c>
      <c r="AJ3" s="97">
        <v>40725</v>
      </c>
      <c r="AK3" s="97">
        <v>40756</v>
      </c>
      <c r="AL3" s="97">
        <v>40787</v>
      </c>
      <c r="AM3" s="97">
        <v>40817</v>
      </c>
      <c r="AN3" s="97">
        <v>40848</v>
      </c>
      <c r="AO3" s="97">
        <v>40878</v>
      </c>
      <c r="AP3" s="97">
        <v>40909</v>
      </c>
      <c r="AQ3" s="97">
        <v>40940</v>
      </c>
      <c r="AR3" s="97">
        <v>40969</v>
      </c>
      <c r="AS3" s="97">
        <v>41000</v>
      </c>
      <c r="AT3" s="97">
        <v>41030</v>
      </c>
      <c r="AU3" s="97">
        <v>41061</v>
      </c>
    </row>
    <row r="4" spans="1:23" ht="12">
      <c r="A4" s="41" t="s">
        <v>14</v>
      </c>
      <c r="B4" s="42"/>
      <c r="C4" s="43"/>
      <c r="D4" s="44"/>
      <c r="E4" s="4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</row>
    <row r="5" spans="1:47" ht="12">
      <c r="A5" s="48" t="s">
        <v>15</v>
      </c>
      <c r="B5" s="49"/>
      <c r="C5" s="180">
        <f>SUM(F5:AU5)</f>
        <v>3971925</v>
      </c>
      <c r="D5" s="147"/>
      <c r="E5" s="148"/>
      <c r="F5" s="178">
        <f>'Sales Proceeds'!F14</f>
        <v>0</v>
      </c>
      <c r="G5" s="178">
        <f>'Sales Proceeds'!G14</f>
        <v>0</v>
      </c>
      <c r="H5" s="178">
        <f>'Sales Proceeds'!H14</f>
        <v>0</v>
      </c>
      <c r="I5" s="178">
        <f>'Sales Proceeds'!I14</f>
        <v>0</v>
      </c>
      <c r="J5" s="178">
        <f>'Sales Proceeds'!J14</f>
        <v>0</v>
      </c>
      <c r="K5" s="178">
        <f>'Sales Proceeds'!K14</f>
        <v>0</v>
      </c>
      <c r="L5" s="178">
        <f>'Sales Proceeds'!L14</f>
        <v>0</v>
      </c>
      <c r="M5" s="178">
        <f>'Sales Proceeds'!M14</f>
        <v>0</v>
      </c>
      <c r="N5" s="178">
        <f>'Sales Proceeds'!N14</f>
        <v>0</v>
      </c>
      <c r="O5" s="178">
        <f>'Sales Proceeds'!O14</f>
        <v>0</v>
      </c>
      <c r="P5" s="178">
        <f>'Sales Proceeds'!P14</f>
        <v>0</v>
      </c>
      <c r="Q5" s="178">
        <f>'Sales Proceeds'!Q14</f>
        <v>0</v>
      </c>
      <c r="R5" s="178">
        <f>'Sales Proceeds'!R14</f>
        <v>360000</v>
      </c>
      <c r="S5" s="178">
        <f>'Sales Proceeds'!S14</f>
        <v>0</v>
      </c>
      <c r="T5" s="178">
        <f>'Sales Proceeds'!T14</f>
        <v>0</v>
      </c>
      <c r="U5" s="178">
        <f>'Sales Proceeds'!U14</f>
        <v>367875</v>
      </c>
      <c r="V5" s="178">
        <f>'Sales Proceeds'!V14</f>
        <v>0</v>
      </c>
      <c r="W5" s="178">
        <f>'Sales Proceeds'!W14</f>
        <v>0</v>
      </c>
      <c r="X5" s="178">
        <f>'Sales Proceeds'!X14</f>
        <v>375750</v>
      </c>
      <c r="Y5" s="178">
        <f>'Sales Proceeds'!Y14</f>
        <v>0</v>
      </c>
      <c r="Z5" s="178">
        <f>'Sales Proceeds'!Z14</f>
        <v>0</v>
      </c>
      <c r="AA5" s="178">
        <f>'Sales Proceeds'!AA14</f>
        <v>383625</v>
      </c>
      <c r="AB5" s="178">
        <f>'Sales Proceeds'!AB14</f>
        <v>0</v>
      </c>
      <c r="AC5" s="178">
        <f>'Sales Proceeds'!AC14</f>
        <v>0</v>
      </c>
      <c r="AD5" s="178">
        <f>'Sales Proceeds'!AD14</f>
        <v>393300</v>
      </c>
      <c r="AE5" s="178">
        <f>'Sales Proceeds'!AE14</f>
        <v>0</v>
      </c>
      <c r="AF5" s="178">
        <f>'Sales Proceeds'!AF14</f>
        <v>0</v>
      </c>
      <c r="AG5" s="178">
        <f>'Sales Proceeds'!AG14</f>
        <v>401625</v>
      </c>
      <c r="AH5" s="178">
        <f>'Sales Proceeds'!AH14</f>
        <v>0</v>
      </c>
      <c r="AI5" s="178">
        <f>'Sales Proceeds'!AI14</f>
        <v>0</v>
      </c>
      <c r="AJ5" s="178">
        <f>'Sales Proceeds'!AJ14</f>
        <v>409950</v>
      </c>
      <c r="AK5" s="178">
        <f>'Sales Proceeds'!AK14</f>
        <v>0</v>
      </c>
      <c r="AL5" s="178">
        <f>'Sales Proceeds'!AL14</f>
        <v>0</v>
      </c>
      <c r="AM5" s="178">
        <f>'Sales Proceeds'!AM14</f>
        <v>418275</v>
      </c>
      <c r="AN5" s="178">
        <f>'Sales Proceeds'!AN14</f>
        <v>0</v>
      </c>
      <c r="AO5" s="178">
        <f>'Sales Proceeds'!AO14</f>
        <v>0</v>
      </c>
      <c r="AP5" s="178">
        <f>'Sales Proceeds'!AP14</f>
        <v>426600</v>
      </c>
      <c r="AQ5" s="178">
        <f>'Sales Proceeds'!AQ14</f>
        <v>0</v>
      </c>
      <c r="AR5" s="178">
        <f>'Sales Proceeds'!AR14</f>
        <v>0</v>
      </c>
      <c r="AS5" s="178">
        <f>'Sales Proceeds'!AS14</f>
        <v>434925</v>
      </c>
      <c r="AT5" s="178">
        <f>'Sales Proceeds'!AT14</f>
        <v>0</v>
      </c>
      <c r="AU5" s="178">
        <f>'Sales Proceeds'!AU14</f>
        <v>0</v>
      </c>
    </row>
    <row r="6" spans="1:47" ht="12">
      <c r="A6" s="48" t="s">
        <v>66</v>
      </c>
      <c r="B6" s="49"/>
      <c r="C6" s="180">
        <f>SUM(F6:AU6)</f>
        <v>0</v>
      </c>
      <c r="D6" s="147"/>
      <c r="E6" s="149"/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178">
        <v>0</v>
      </c>
      <c r="Y6" s="178">
        <v>0</v>
      </c>
      <c r="Z6" s="178">
        <v>0</v>
      </c>
      <c r="AA6" s="178">
        <v>0</v>
      </c>
      <c r="AB6" s="178">
        <v>0</v>
      </c>
      <c r="AC6" s="178">
        <v>0</v>
      </c>
      <c r="AD6" s="178">
        <v>0</v>
      </c>
      <c r="AE6" s="178">
        <v>0</v>
      </c>
      <c r="AF6" s="178">
        <v>0</v>
      </c>
      <c r="AG6" s="178">
        <v>0</v>
      </c>
      <c r="AH6" s="178">
        <v>0</v>
      </c>
      <c r="AI6" s="178">
        <v>0</v>
      </c>
      <c r="AJ6" s="178">
        <v>0</v>
      </c>
      <c r="AK6" s="178">
        <v>0</v>
      </c>
      <c r="AL6" s="178">
        <v>0</v>
      </c>
      <c r="AM6" s="178">
        <v>0</v>
      </c>
      <c r="AN6" s="178">
        <v>0</v>
      </c>
      <c r="AO6" s="178">
        <v>0</v>
      </c>
      <c r="AP6" s="178">
        <v>0</v>
      </c>
      <c r="AQ6" s="178">
        <v>0</v>
      </c>
      <c r="AR6" s="178">
        <v>0</v>
      </c>
      <c r="AS6" s="178">
        <v>0</v>
      </c>
      <c r="AT6" s="178">
        <v>0</v>
      </c>
      <c r="AU6" s="178">
        <v>0</v>
      </c>
    </row>
    <row r="7" spans="1:47" ht="12">
      <c r="A7" s="48" t="s">
        <v>67</v>
      </c>
      <c r="B7" s="49"/>
      <c r="C7" s="180">
        <f>SUM(F7:AU7)</f>
        <v>0</v>
      </c>
      <c r="D7" s="147"/>
      <c r="E7" s="149"/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8">
        <v>0</v>
      </c>
      <c r="V7" s="178">
        <v>0</v>
      </c>
      <c r="W7" s="178">
        <v>0</v>
      </c>
      <c r="X7" s="178">
        <v>0</v>
      </c>
      <c r="Y7" s="178">
        <v>0</v>
      </c>
      <c r="Z7" s="178">
        <v>0</v>
      </c>
      <c r="AA7" s="178">
        <v>0</v>
      </c>
      <c r="AB7" s="178">
        <v>0</v>
      </c>
      <c r="AC7" s="178">
        <v>0</v>
      </c>
      <c r="AD7" s="178">
        <v>0</v>
      </c>
      <c r="AE7" s="178">
        <v>0</v>
      </c>
      <c r="AF7" s="178">
        <v>0</v>
      </c>
      <c r="AG7" s="178">
        <v>0</v>
      </c>
      <c r="AH7" s="178">
        <v>0</v>
      </c>
      <c r="AI7" s="178">
        <v>0</v>
      </c>
      <c r="AJ7" s="178">
        <v>0</v>
      </c>
      <c r="AK7" s="178">
        <v>0</v>
      </c>
      <c r="AL7" s="178">
        <v>0</v>
      </c>
      <c r="AM7" s="178">
        <v>0</v>
      </c>
      <c r="AN7" s="178">
        <v>0</v>
      </c>
      <c r="AO7" s="178">
        <v>0</v>
      </c>
      <c r="AP7" s="178">
        <v>0</v>
      </c>
      <c r="AQ7" s="178">
        <v>0</v>
      </c>
      <c r="AR7" s="178">
        <v>0</v>
      </c>
      <c r="AS7" s="178">
        <v>0</v>
      </c>
      <c r="AT7" s="178">
        <v>0</v>
      </c>
      <c r="AU7" s="178">
        <v>0</v>
      </c>
    </row>
    <row r="8" spans="1:47" ht="12">
      <c r="A8" s="48" t="s">
        <v>61</v>
      </c>
      <c r="B8" s="49"/>
      <c r="C8" s="180">
        <f>SUM(F8:AU8)</f>
        <v>636889.3999999999</v>
      </c>
      <c r="D8" s="147"/>
      <c r="E8" s="149"/>
      <c r="F8" s="178">
        <v>0</v>
      </c>
      <c r="G8" s="178">
        <v>0</v>
      </c>
      <c r="H8" s="178">
        <v>0</v>
      </c>
      <c r="I8" s="178">
        <v>0</v>
      </c>
      <c r="J8" s="178">
        <f>Assumptions!C48</f>
        <v>50000</v>
      </c>
      <c r="K8" s="178">
        <v>0</v>
      </c>
      <c r="L8" s="178">
        <f>Assumptions!K11-Assumptions!C48</f>
        <v>586889.3999999999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8">
        <v>0</v>
      </c>
      <c r="Y8" s="178">
        <v>0</v>
      </c>
      <c r="Z8" s="178">
        <v>0</v>
      </c>
      <c r="AA8" s="178">
        <v>0</v>
      </c>
      <c r="AB8" s="178">
        <v>0</v>
      </c>
      <c r="AC8" s="178">
        <v>0</v>
      </c>
      <c r="AD8" s="178">
        <v>0</v>
      </c>
      <c r="AE8" s="178">
        <v>0</v>
      </c>
      <c r="AF8" s="178">
        <v>0</v>
      </c>
      <c r="AG8" s="178">
        <v>0</v>
      </c>
      <c r="AH8" s="178">
        <v>0</v>
      </c>
      <c r="AI8" s="178">
        <v>0</v>
      </c>
      <c r="AJ8" s="178">
        <v>0</v>
      </c>
      <c r="AK8" s="178"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  <c r="AU8" s="178">
        <v>0</v>
      </c>
    </row>
    <row r="9" spans="1:47" ht="12">
      <c r="A9" s="50" t="s">
        <v>16</v>
      </c>
      <c r="B9" s="42"/>
      <c r="C9" s="180">
        <f>SUM(F9:AU9)</f>
        <v>4608814.4</v>
      </c>
      <c r="D9" s="147"/>
      <c r="E9" s="141"/>
      <c r="F9" s="179">
        <f>SUM(F5:F8)</f>
        <v>0</v>
      </c>
      <c r="G9" s="179">
        <f aca="true" t="shared" si="0" ref="G9:AU9">SUM(G5:G8)</f>
        <v>0</v>
      </c>
      <c r="H9" s="179">
        <f t="shared" si="0"/>
        <v>0</v>
      </c>
      <c r="I9" s="179">
        <f t="shared" si="0"/>
        <v>0</v>
      </c>
      <c r="J9" s="179">
        <f t="shared" si="0"/>
        <v>50000</v>
      </c>
      <c r="K9" s="179">
        <f t="shared" si="0"/>
        <v>0</v>
      </c>
      <c r="L9" s="179">
        <f t="shared" si="0"/>
        <v>586889.3999999999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360000</v>
      </c>
      <c r="S9" s="179">
        <f t="shared" si="0"/>
        <v>0</v>
      </c>
      <c r="T9" s="179">
        <f t="shared" si="0"/>
        <v>0</v>
      </c>
      <c r="U9" s="179">
        <f t="shared" si="0"/>
        <v>367875</v>
      </c>
      <c r="V9" s="179">
        <f t="shared" si="0"/>
        <v>0</v>
      </c>
      <c r="W9" s="179">
        <f t="shared" si="0"/>
        <v>0</v>
      </c>
      <c r="X9" s="179">
        <f t="shared" si="0"/>
        <v>375750</v>
      </c>
      <c r="Y9" s="179">
        <f t="shared" si="0"/>
        <v>0</v>
      </c>
      <c r="Z9" s="179">
        <f t="shared" si="0"/>
        <v>0</v>
      </c>
      <c r="AA9" s="179">
        <f t="shared" si="0"/>
        <v>383625</v>
      </c>
      <c r="AB9" s="179">
        <f t="shared" si="0"/>
        <v>0</v>
      </c>
      <c r="AC9" s="179">
        <f t="shared" si="0"/>
        <v>0</v>
      </c>
      <c r="AD9" s="179">
        <f t="shared" si="0"/>
        <v>393300</v>
      </c>
      <c r="AE9" s="179">
        <f t="shared" si="0"/>
        <v>0</v>
      </c>
      <c r="AF9" s="179">
        <f t="shared" si="0"/>
        <v>0</v>
      </c>
      <c r="AG9" s="179">
        <f t="shared" si="0"/>
        <v>401625</v>
      </c>
      <c r="AH9" s="179">
        <f t="shared" si="0"/>
        <v>0</v>
      </c>
      <c r="AI9" s="179">
        <f t="shared" si="0"/>
        <v>0</v>
      </c>
      <c r="AJ9" s="179">
        <f t="shared" si="0"/>
        <v>409950</v>
      </c>
      <c r="AK9" s="179">
        <f t="shared" si="0"/>
        <v>0</v>
      </c>
      <c r="AL9" s="179">
        <f t="shared" si="0"/>
        <v>0</v>
      </c>
      <c r="AM9" s="179">
        <f t="shared" si="0"/>
        <v>418275</v>
      </c>
      <c r="AN9" s="179">
        <f t="shared" si="0"/>
        <v>0</v>
      </c>
      <c r="AO9" s="179">
        <f t="shared" si="0"/>
        <v>0</v>
      </c>
      <c r="AP9" s="179">
        <f t="shared" si="0"/>
        <v>426600</v>
      </c>
      <c r="AQ9" s="179">
        <f t="shared" si="0"/>
        <v>0</v>
      </c>
      <c r="AR9" s="179">
        <f t="shared" si="0"/>
        <v>0</v>
      </c>
      <c r="AS9" s="179">
        <f t="shared" si="0"/>
        <v>434925</v>
      </c>
      <c r="AT9" s="179">
        <f t="shared" si="0"/>
        <v>0</v>
      </c>
      <c r="AU9" s="179">
        <f t="shared" si="0"/>
        <v>0</v>
      </c>
    </row>
    <row r="10" spans="1:47" ht="12">
      <c r="A10" s="17"/>
      <c r="B10" s="26"/>
      <c r="C10" s="143"/>
      <c r="D10" s="147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</row>
    <row r="11" spans="1:47" ht="12">
      <c r="A11" s="51" t="s">
        <v>69</v>
      </c>
      <c r="B11" s="9"/>
      <c r="C11" s="180">
        <f>SUM(F11:AU11)</f>
        <v>2477157.620660206</v>
      </c>
      <c r="D11" s="147"/>
      <c r="E11" s="150"/>
      <c r="F11" s="178">
        <f>SUM('Debt Schedule'!F7:F10)</f>
        <v>0</v>
      </c>
      <c r="G11" s="178">
        <f>SUM('Debt Schedule'!G7:G10)</f>
        <v>0</v>
      </c>
      <c r="H11" s="178">
        <f>SUM('Debt Schedule'!H7:H10)</f>
        <v>0</v>
      </c>
      <c r="I11" s="178">
        <f>SUM('Debt Schedule'!I7:I10)</f>
        <v>0</v>
      </c>
      <c r="J11" s="178">
        <f>SUM('Debt Schedule'!J7:J10)</f>
        <v>0</v>
      </c>
      <c r="K11" s="178">
        <f>SUM('Debt Schedule'!K7:K10)</f>
        <v>0</v>
      </c>
      <c r="L11" s="178">
        <f>SUM('Debt Schedule'!L7:L10)</f>
        <v>144110.6000000001</v>
      </c>
      <c r="M11" s="178">
        <f>SUM('Debt Schedule'!M7:M10)</f>
        <v>348097.3809583334</v>
      </c>
      <c r="N11" s="178">
        <f>SUM('Debt Schedule'!N7:N10)</f>
        <v>350345.5098770226</v>
      </c>
      <c r="O11" s="178">
        <f>SUM('Debt Schedule'!O7:O10)</f>
        <v>352608.15796164505</v>
      </c>
      <c r="P11" s="178">
        <f>SUM('Debt Schedule'!P7:P10)</f>
        <v>354885.418981814</v>
      </c>
      <c r="Q11" s="178">
        <f>SUM('Debt Schedule'!Q7:Q10)</f>
        <v>357177.3873127382</v>
      </c>
      <c r="R11" s="178">
        <f>SUM('Debt Schedule'!R7:R10)</f>
        <v>366484.15793913294</v>
      </c>
      <c r="S11" s="178">
        <f>SUM('Debt Schedule'!S7:S10)</f>
        <v>13091.868125823183</v>
      </c>
      <c r="T11" s="178">
        <f>SUM('Debt Schedule'!T7:T10)</f>
        <v>13176.419774135791</v>
      </c>
      <c r="U11" s="178">
        <f>SUM('Debt Schedule'!U7:U10)</f>
        <v>14261.517485177084</v>
      </c>
      <c r="V11" s="178">
        <f>SUM('Debt Schedule'!V7:V10)</f>
        <v>11215.34968143552</v>
      </c>
      <c r="W11" s="178">
        <f>SUM('Debt Schedule'!W7:W10)</f>
        <v>11287.782148128126</v>
      </c>
      <c r="X11" s="178">
        <f>SUM('Debt Schedule'!X7:X10)</f>
        <v>12360.682407834787</v>
      </c>
      <c r="Y11" s="178">
        <f>SUM('Debt Schedule'!Y7:Y10)</f>
        <v>9256.464940052052</v>
      </c>
      <c r="Z11" s="178">
        <f>SUM('Debt Schedule'!Z7:Z10)</f>
        <v>9316.246276123222</v>
      </c>
      <c r="AA11" s="178">
        <f>SUM('Debt Schedule'!AA7:AA10)</f>
        <v>10376.413699989851</v>
      </c>
      <c r="AB11" s="178">
        <f>SUM('Debt Schedule'!AB7:AB10)</f>
        <v>7213.607725968953</v>
      </c>
      <c r="AC11" s="178">
        <f>SUM('Debt Schedule'!AC7:AC10)</f>
        <v>7260.19560919917</v>
      </c>
      <c r="AD11" s="178">
        <f>SUM('Debt Schedule'!AD7:AD10)</f>
        <v>51946.25110621881</v>
      </c>
      <c r="AE11" s="178">
        <f>SUM('Debt Schedule'!AE7:AE10)</f>
        <v>5669.837832574067</v>
      </c>
      <c r="AF11" s="178">
        <f>SUM('Debt Schedule'!AF7:AF10)</f>
        <v>5708.817967673013</v>
      </c>
      <c r="AG11" s="178">
        <f>SUM('Debt Schedule'!AG7:AG10)</f>
        <v>6748.066091200765</v>
      </c>
      <c r="AH11" s="178">
        <f>SUM('Debt Schedule'!AH7:AH10)</f>
        <v>3309.404358077771</v>
      </c>
      <c r="AI11" s="178">
        <f>SUM('Debt Schedule'!AI7:AI10)</f>
        <v>3332.1565130395556</v>
      </c>
      <c r="AJ11" s="178">
        <f>SUM('Debt Schedule'!AJ7:AJ10)</f>
        <v>4355.065089066702</v>
      </c>
      <c r="AK11" s="178">
        <f>SUM('Debt Schedule'!AK7:AK10)</f>
        <v>848.440536554036</v>
      </c>
      <c r="AL11" s="178">
        <f>SUM('Debt Schedule'!AL7:AL10)</f>
        <v>854.273565242845</v>
      </c>
      <c r="AM11" s="178">
        <f>SUM('Debt Schedule'!AM7:AM10)</f>
        <v>1860.1466960038897</v>
      </c>
      <c r="AN11" s="178">
        <f>SUM('Debt Schedule'!AN7:AN10)</f>
        <v>0</v>
      </c>
      <c r="AO11" s="178">
        <f>SUM('Debt Schedule'!AO7:AO10)</f>
        <v>0</v>
      </c>
      <c r="AP11" s="178">
        <f>SUM('Debt Schedule'!AP7:AP10)</f>
        <v>0</v>
      </c>
      <c r="AQ11" s="178">
        <f>SUM('Debt Schedule'!AQ7:AQ10)</f>
        <v>0</v>
      </c>
      <c r="AR11" s="178">
        <f>SUM('Debt Schedule'!AR7:AR10)</f>
        <v>0</v>
      </c>
      <c r="AS11" s="178">
        <f>SUM('Debt Schedule'!AS7:AS10)</f>
        <v>0</v>
      </c>
      <c r="AT11" s="178">
        <f>SUM('Debt Schedule'!AT7:AT10)</f>
        <v>0</v>
      </c>
      <c r="AU11" s="178">
        <f>SUM('Debt Schedule'!AU7:AU10)</f>
        <v>0</v>
      </c>
    </row>
    <row r="12" spans="1:47" ht="12">
      <c r="A12" s="17"/>
      <c r="B12" s="26"/>
      <c r="C12" s="143"/>
      <c r="D12" s="147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</row>
    <row r="13" spans="1:47" ht="12">
      <c r="A13" s="51" t="s">
        <v>52</v>
      </c>
      <c r="B13" s="26"/>
      <c r="C13" s="180">
        <f>SUM(F13:AU13)</f>
        <v>7085972.020660204</v>
      </c>
      <c r="D13" s="147"/>
      <c r="E13" s="141"/>
      <c r="F13" s="181">
        <f>SUM(F9+F11)</f>
        <v>0</v>
      </c>
      <c r="G13" s="181">
        <f aca="true" t="shared" si="1" ref="G13:AU13">SUM(G9+G11)</f>
        <v>0</v>
      </c>
      <c r="H13" s="181">
        <f t="shared" si="1"/>
        <v>0</v>
      </c>
      <c r="I13" s="181">
        <f t="shared" si="1"/>
        <v>0</v>
      </c>
      <c r="J13" s="181">
        <f t="shared" si="1"/>
        <v>50000</v>
      </c>
      <c r="K13" s="181">
        <f t="shared" si="1"/>
        <v>0</v>
      </c>
      <c r="L13" s="181">
        <f t="shared" si="1"/>
        <v>731000</v>
      </c>
      <c r="M13" s="181">
        <f t="shared" si="1"/>
        <v>348097.3809583334</v>
      </c>
      <c r="N13" s="181">
        <f t="shared" si="1"/>
        <v>350345.5098770226</v>
      </c>
      <c r="O13" s="181">
        <f t="shared" si="1"/>
        <v>352608.15796164505</v>
      </c>
      <c r="P13" s="181">
        <f t="shared" si="1"/>
        <v>354885.418981814</v>
      </c>
      <c r="Q13" s="181">
        <f t="shared" si="1"/>
        <v>357177.3873127382</v>
      </c>
      <c r="R13" s="181">
        <f t="shared" si="1"/>
        <v>726484.157939133</v>
      </c>
      <c r="S13" s="181">
        <f t="shared" si="1"/>
        <v>13091.868125823183</v>
      </c>
      <c r="T13" s="181">
        <f t="shared" si="1"/>
        <v>13176.419774135791</v>
      </c>
      <c r="U13" s="181">
        <f t="shared" si="1"/>
        <v>382136.5174851771</v>
      </c>
      <c r="V13" s="181">
        <f t="shared" si="1"/>
        <v>11215.34968143552</v>
      </c>
      <c r="W13" s="181">
        <f t="shared" si="1"/>
        <v>11287.782148128126</v>
      </c>
      <c r="X13" s="181">
        <f t="shared" si="1"/>
        <v>388110.6824078348</v>
      </c>
      <c r="Y13" s="181">
        <f t="shared" si="1"/>
        <v>9256.464940052052</v>
      </c>
      <c r="Z13" s="181">
        <f t="shared" si="1"/>
        <v>9316.246276123222</v>
      </c>
      <c r="AA13" s="181">
        <f t="shared" si="1"/>
        <v>394001.41369998985</v>
      </c>
      <c r="AB13" s="181">
        <f t="shared" si="1"/>
        <v>7213.607725968953</v>
      </c>
      <c r="AC13" s="181">
        <f t="shared" si="1"/>
        <v>7260.19560919917</v>
      </c>
      <c r="AD13" s="181">
        <f t="shared" si="1"/>
        <v>445246.2511062188</v>
      </c>
      <c r="AE13" s="181">
        <f t="shared" si="1"/>
        <v>5669.837832574067</v>
      </c>
      <c r="AF13" s="181">
        <f t="shared" si="1"/>
        <v>5708.817967673013</v>
      </c>
      <c r="AG13" s="181">
        <f t="shared" si="1"/>
        <v>408373.06609120074</v>
      </c>
      <c r="AH13" s="181">
        <f t="shared" si="1"/>
        <v>3309.404358077771</v>
      </c>
      <c r="AI13" s="181">
        <f t="shared" si="1"/>
        <v>3332.1565130395556</v>
      </c>
      <c r="AJ13" s="181">
        <f t="shared" si="1"/>
        <v>414305.0650890667</v>
      </c>
      <c r="AK13" s="181">
        <f t="shared" si="1"/>
        <v>848.440536554036</v>
      </c>
      <c r="AL13" s="181">
        <f t="shared" si="1"/>
        <v>854.273565242845</v>
      </c>
      <c r="AM13" s="181">
        <f t="shared" si="1"/>
        <v>420135.1466960039</v>
      </c>
      <c r="AN13" s="181">
        <f t="shared" si="1"/>
        <v>0</v>
      </c>
      <c r="AO13" s="181">
        <f t="shared" si="1"/>
        <v>0</v>
      </c>
      <c r="AP13" s="181">
        <f t="shared" si="1"/>
        <v>426600</v>
      </c>
      <c r="AQ13" s="181">
        <f t="shared" si="1"/>
        <v>0</v>
      </c>
      <c r="AR13" s="181">
        <f t="shared" si="1"/>
        <v>0</v>
      </c>
      <c r="AS13" s="181">
        <f t="shared" si="1"/>
        <v>434925</v>
      </c>
      <c r="AT13" s="181">
        <f t="shared" si="1"/>
        <v>0</v>
      </c>
      <c r="AU13" s="181">
        <f t="shared" si="1"/>
        <v>0</v>
      </c>
    </row>
    <row r="14" spans="1:47" ht="12">
      <c r="A14" s="17"/>
      <c r="B14" s="26"/>
      <c r="C14" s="143"/>
      <c r="D14" s="147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</row>
    <row r="15" spans="1:47" ht="12">
      <c r="A15" s="33" t="s">
        <v>48</v>
      </c>
      <c r="B15" s="9"/>
      <c r="C15" s="151"/>
      <c r="D15" s="147"/>
      <c r="E15" s="15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</row>
    <row r="16" spans="1:47" ht="12">
      <c r="A16" s="51" t="s">
        <v>46</v>
      </c>
      <c r="B16" s="9"/>
      <c r="C16" s="143"/>
      <c r="D16" s="147"/>
      <c r="E16" s="15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</row>
    <row r="17" spans="1:47" ht="12">
      <c r="A17" s="34" t="s">
        <v>85</v>
      </c>
      <c r="B17" s="9"/>
      <c r="C17" s="180">
        <f>SUM(F17:AU17)</f>
        <v>-750000</v>
      </c>
      <c r="D17" s="147"/>
      <c r="E17" s="149"/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f>(Assumptions!G30)*-1</f>
        <v>-750000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178">
        <v>0</v>
      </c>
      <c r="AD17" s="178">
        <v>0</v>
      </c>
      <c r="AE17" s="178">
        <v>0</v>
      </c>
      <c r="AF17" s="178">
        <v>0</v>
      </c>
      <c r="AG17" s="178">
        <v>0</v>
      </c>
      <c r="AH17" s="178">
        <v>0</v>
      </c>
      <c r="AI17" s="178">
        <v>0</v>
      </c>
      <c r="AJ17" s="178">
        <v>0</v>
      </c>
      <c r="AK17" s="178"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  <c r="AU17" s="178">
        <v>0</v>
      </c>
    </row>
    <row r="18" spans="1:47" ht="12">
      <c r="A18" s="99" t="s">
        <v>6</v>
      </c>
      <c r="B18" s="9"/>
      <c r="C18" s="180">
        <f>SUM(F18:AU18)</f>
        <v>-750000</v>
      </c>
      <c r="D18" s="147"/>
      <c r="E18" s="149"/>
      <c r="F18" s="179">
        <f>F17</f>
        <v>0</v>
      </c>
      <c r="G18" s="179">
        <f aca="true" t="shared" si="2" ref="G18:AU18">G17</f>
        <v>0</v>
      </c>
      <c r="H18" s="179">
        <f t="shared" si="2"/>
        <v>0</v>
      </c>
      <c r="I18" s="179">
        <f t="shared" si="2"/>
        <v>0</v>
      </c>
      <c r="J18" s="179">
        <f t="shared" si="2"/>
        <v>0</v>
      </c>
      <c r="K18" s="179">
        <f t="shared" si="2"/>
        <v>0</v>
      </c>
      <c r="L18" s="179">
        <f t="shared" si="2"/>
        <v>-750000</v>
      </c>
      <c r="M18" s="179">
        <f t="shared" si="2"/>
        <v>0</v>
      </c>
      <c r="N18" s="179">
        <f t="shared" si="2"/>
        <v>0</v>
      </c>
      <c r="O18" s="179">
        <f t="shared" si="2"/>
        <v>0</v>
      </c>
      <c r="P18" s="179">
        <f t="shared" si="2"/>
        <v>0</v>
      </c>
      <c r="Q18" s="179">
        <f t="shared" si="2"/>
        <v>0</v>
      </c>
      <c r="R18" s="179">
        <f t="shared" si="2"/>
        <v>0</v>
      </c>
      <c r="S18" s="179">
        <f t="shared" si="2"/>
        <v>0</v>
      </c>
      <c r="T18" s="179">
        <f t="shared" si="2"/>
        <v>0</v>
      </c>
      <c r="U18" s="179">
        <f t="shared" si="2"/>
        <v>0</v>
      </c>
      <c r="V18" s="179">
        <f t="shared" si="2"/>
        <v>0</v>
      </c>
      <c r="W18" s="179">
        <f t="shared" si="2"/>
        <v>0</v>
      </c>
      <c r="X18" s="179">
        <f t="shared" si="2"/>
        <v>0</v>
      </c>
      <c r="Y18" s="179">
        <f t="shared" si="2"/>
        <v>0</v>
      </c>
      <c r="Z18" s="179">
        <f t="shared" si="2"/>
        <v>0</v>
      </c>
      <c r="AA18" s="179">
        <f t="shared" si="2"/>
        <v>0</v>
      </c>
      <c r="AB18" s="179">
        <f t="shared" si="2"/>
        <v>0</v>
      </c>
      <c r="AC18" s="179">
        <f t="shared" si="2"/>
        <v>0</v>
      </c>
      <c r="AD18" s="179">
        <f t="shared" si="2"/>
        <v>0</v>
      </c>
      <c r="AE18" s="179">
        <f t="shared" si="2"/>
        <v>0</v>
      </c>
      <c r="AF18" s="179">
        <f t="shared" si="2"/>
        <v>0</v>
      </c>
      <c r="AG18" s="179">
        <f t="shared" si="2"/>
        <v>0</v>
      </c>
      <c r="AH18" s="179">
        <f t="shared" si="2"/>
        <v>0</v>
      </c>
      <c r="AI18" s="179">
        <f t="shared" si="2"/>
        <v>0</v>
      </c>
      <c r="AJ18" s="179">
        <f t="shared" si="2"/>
        <v>0</v>
      </c>
      <c r="AK18" s="179">
        <f t="shared" si="2"/>
        <v>0</v>
      </c>
      <c r="AL18" s="179">
        <f t="shared" si="2"/>
        <v>0</v>
      </c>
      <c r="AM18" s="179">
        <f t="shared" si="2"/>
        <v>0</v>
      </c>
      <c r="AN18" s="179">
        <f t="shared" si="2"/>
        <v>0</v>
      </c>
      <c r="AO18" s="179">
        <f t="shared" si="2"/>
        <v>0</v>
      </c>
      <c r="AP18" s="179">
        <f t="shared" si="2"/>
        <v>0</v>
      </c>
      <c r="AQ18" s="179">
        <f t="shared" si="2"/>
        <v>0</v>
      </c>
      <c r="AR18" s="179">
        <f t="shared" si="2"/>
        <v>0</v>
      </c>
      <c r="AS18" s="179">
        <f t="shared" si="2"/>
        <v>0</v>
      </c>
      <c r="AT18" s="179">
        <f t="shared" si="2"/>
        <v>0</v>
      </c>
      <c r="AU18" s="179">
        <f t="shared" si="2"/>
        <v>0</v>
      </c>
    </row>
    <row r="19" spans="1:47" ht="12">
      <c r="A19" s="33"/>
      <c r="B19" s="9"/>
      <c r="C19" s="151"/>
      <c r="D19" s="147"/>
      <c r="E19" s="15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</row>
    <row r="20" spans="1:47" ht="12">
      <c r="A20" s="98" t="s">
        <v>49</v>
      </c>
      <c r="B20" s="9"/>
      <c r="C20" s="143"/>
      <c r="D20" s="147"/>
      <c r="E20" s="15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</row>
    <row r="21" spans="1:47" ht="12">
      <c r="A21" s="34" t="s">
        <v>70</v>
      </c>
      <c r="B21" s="9"/>
      <c r="C21" s="180">
        <f>SUM(F21:AU21)</f>
        <v>-1900000.0000000002</v>
      </c>
      <c r="D21" s="147"/>
      <c r="E21" s="149"/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f>(Assumptions!$G31/6)*-1</f>
        <v>-316666.6666666667</v>
      </c>
      <c r="N21" s="178">
        <f>(Assumptions!$G31/6)*-1</f>
        <v>-316666.6666666667</v>
      </c>
      <c r="O21" s="178">
        <f>(Assumptions!$G31/6)*-1</f>
        <v>-316666.6666666667</v>
      </c>
      <c r="P21" s="178">
        <f>(Assumptions!$G31/6)*-1</f>
        <v>-316666.6666666667</v>
      </c>
      <c r="Q21" s="178">
        <f>(Assumptions!$G31/6)*-1</f>
        <v>-316666.6666666667</v>
      </c>
      <c r="R21" s="178">
        <f>(Assumptions!$G31/6)*-1</f>
        <v>-316666.6666666667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</row>
    <row r="22" spans="1:47" ht="12">
      <c r="A22" s="34" t="s">
        <v>68</v>
      </c>
      <c r="B22" s="9"/>
      <c r="C22" s="180">
        <f>SUM(F22:AU22)</f>
        <v>0</v>
      </c>
      <c r="D22" s="147"/>
      <c r="E22" s="149"/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  <c r="AU22" s="178">
        <v>0</v>
      </c>
    </row>
    <row r="23" spans="1:47" ht="12">
      <c r="A23" s="51" t="s">
        <v>6</v>
      </c>
      <c r="B23" s="9"/>
      <c r="C23" s="180">
        <f>SUM(F23:AU23)</f>
        <v>-1900000.0000000002</v>
      </c>
      <c r="D23" s="147"/>
      <c r="E23" s="150"/>
      <c r="F23" s="179">
        <f>SUM(F21+F22)</f>
        <v>0</v>
      </c>
      <c r="G23" s="179">
        <f aca="true" t="shared" si="3" ref="G23:AU23">SUM(G21+G22)</f>
        <v>0</v>
      </c>
      <c r="H23" s="179">
        <f t="shared" si="3"/>
        <v>0</v>
      </c>
      <c r="I23" s="179">
        <f t="shared" si="3"/>
        <v>0</v>
      </c>
      <c r="J23" s="179">
        <f t="shared" si="3"/>
        <v>0</v>
      </c>
      <c r="K23" s="179">
        <f t="shared" si="3"/>
        <v>0</v>
      </c>
      <c r="L23" s="179">
        <f t="shared" si="3"/>
        <v>0</v>
      </c>
      <c r="M23" s="179">
        <f t="shared" si="3"/>
        <v>-316666.6666666667</v>
      </c>
      <c r="N23" s="179">
        <f t="shared" si="3"/>
        <v>-316666.6666666667</v>
      </c>
      <c r="O23" s="179">
        <f t="shared" si="3"/>
        <v>-316666.6666666667</v>
      </c>
      <c r="P23" s="179">
        <f t="shared" si="3"/>
        <v>-316666.6666666667</v>
      </c>
      <c r="Q23" s="179">
        <f t="shared" si="3"/>
        <v>-316666.6666666667</v>
      </c>
      <c r="R23" s="179">
        <f t="shared" si="3"/>
        <v>-316666.6666666667</v>
      </c>
      <c r="S23" s="179">
        <f t="shared" si="3"/>
        <v>0</v>
      </c>
      <c r="T23" s="179">
        <f t="shared" si="3"/>
        <v>0</v>
      </c>
      <c r="U23" s="179">
        <f t="shared" si="3"/>
        <v>0</v>
      </c>
      <c r="V23" s="179">
        <f t="shared" si="3"/>
        <v>0</v>
      </c>
      <c r="W23" s="179">
        <f t="shared" si="3"/>
        <v>0</v>
      </c>
      <c r="X23" s="179">
        <f t="shared" si="3"/>
        <v>0</v>
      </c>
      <c r="Y23" s="179">
        <f t="shared" si="3"/>
        <v>0</v>
      </c>
      <c r="Z23" s="179">
        <f t="shared" si="3"/>
        <v>0</v>
      </c>
      <c r="AA23" s="179">
        <f t="shared" si="3"/>
        <v>0</v>
      </c>
      <c r="AB23" s="179">
        <f t="shared" si="3"/>
        <v>0</v>
      </c>
      <c r="AC23" s="179">
        <f t="shared" si="3"/>
        <v>0</v>
      </c>
      <c r="AD23" s="179">
        <f t="shared" si="3"/>
        <v>0</v>
      </c>
      <c r="AE23" s="179">
        <f t="shared" si="3"/>
        <v>0</v>
      </c>
      <c r="AF23" s="179">
        <f t="shared" si="3"/>
        <v>0</v>
      </c>
      <c r="AG23" s="179">
        <f t="shared" si="3"/>
        <v>0</v>
      </c>
      <c r="AH23" s="179">
        <f t="shared" si="3"/>
        <v>0</v>
      </c>
      <c r="AI23" s="179">
        <f t="shared" si="3"/>
        <v>0</v>
      </c>
      <c r="AJ23" s="179">
        <f t="shared" si="3"/>
        <v>0</v>
      </c>
      <c r="AK23" s="179">
        <f t="shared" si="3"/>
        <v>0</v>
      </c>
      <c r="AL23" s="179">
        <f t="shared" si="3"/>
        <v>0</v>
      </c>
      <c r="AM23" s="179">
        <f t="shared" si="3"/>
        <v>0</v>
      </c>
      <c r="AN23" s="179">
        <f t="shared" si="3"/>
        <v>0</v>
      </c>
      <c r="AO23" s="179">
        <f t="shared" si="3"/>
        <v>0</v>
      </c>
      <c r="AP23" s="179">
        <f t="shared" si="3"/>
        <v>0</v>
      </c>
      <c r="AQ23" s="179">
        <f t="shared" si="3"/>
        <v>0</v>
      </c>
      <c r="AR23" s="179">
        <f t="shared" si="3"/>
        <v>0</v>
      </c>
      <c r="AS23" s="179">
        <f t="shared" si="3"/>
        <v>0</v>
      </c>
      <c r="AT23" s="179">
        <f t="shared" si="3"/>
        <v>0</v>
      </c>
      <c r="AU23" s="179">
        <f t="shared" si="3"/>
        <v>0</v>
      </c>
    </row>
    <row r="24" spans="1:47" ht="12">
      <c r="A24" s="51"/>
      <c r="B24" s="9"/>
      <c r="C24" s="151"/>
      <c r="D24" s="147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</row>
    <row r="25" spans="1:47" ht="12">
      <c r="A25" s="51" t="s">
        <v>75</v>
      </c>
      <c r="B25" s="9"/>
      <c r="C25" s="151"/>
      <c r="D25" s="147"/>
      <c r="E25" s="15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</row>
    <row r="26" spans="1:47" ht="12">
      <c r="A26" s="34" t="s">
        <v>59</v>
      </c>
      <c r="B26" s="9"/>
      <c r="C26" s="180">
        <f>SUM(F26:AU26)</f>
        <v>0</v>
      </c>
      <c r="D26" s="147"/>
      <c r="E26" s="150"/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  <c r="AI26" s="178">
        <v>0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  <c r="AU26" s="178">
        <v>0</v>
      </c>
    </row>
    <row r="27" spans="1:47" ht="12">
      <c r="A27" s="34" t="s">
        <v>39</v>
      </c>
      <c r="B27" s="9"/>
      <c r="C27" s="180">
        <f aca="true" t="shared" si="4" ref="C27:C36">SUM(F27:AU27)</f>
        <v>-5000</v>
      </c>
      <c r="D27" s="147"/>
      <c r="E27" s="150"/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f>-Assumptions!C33</f>
        <v>-5000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178">
        <v>0</v>
      </c>
      <c r="AD27" s="178">
        <v>0</v>
      </c>
      <c r="AE27" s="178">
        <v>0</v>
      </c>
      <c r="AF27" s="178">
        <v>0</v>
      </c>
      <c r="AG27" s="178">
        <v>0</v>
      </c>
      <c r="AH27" s="178">
        <v>0</v>
      </c>
      <c r="AI27" s="178">
        <v>0</v>
      </c>
      <c r="AJ27" s="178">
        <v>0</v>
      </c>
      <c r="AK27" s="178"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  <c r="AU27" s="178">
        <v>0</v>
      </c>
    </row>
    <row r="28" spans="1:47" ht="12">
      <c r="A28" s="34" t="s">
        <v>74</v>
      </c>
      <c r="B28" s="9"/>
      <c r="C28" s="180">
        <f t="shared" si="4"/>
        <v>-3000</v>
      </c>
      <c r="D28" s="147"/>
      <c r="E28" s="150"/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f>-Assumptions!C35</f>
        <v>-3000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  <c r="AU28" s="178">
        <v>0</v>
      </c>
    </row>
    <row r="29" spans="1:47" ht="12">
      <c r="A29" s="34" t="s">
        <v>114</v>
      </c>
      <c r="B29" s="9"/>
      <c r="C29" s="180">
        <f t="shared" si="4"/>
        <v>-13000</v>
      </c>
      <c r="D29" s="147"/>
      <c r="E29" s="150"/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f>-Assumptions!C36</f>
        <v>-13000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178">
        <v>0</v>
      </c>
      <c r="AD29" s="178">
        <v>0</v>
      </c>
      <c r="AE29" s="178">
        <v>0</v>
      </c>
      <c r="AF29" s="178">
        <v>0</v>
      </c>
      <c r="AG29" s="178">
        <v>0</v>
      </c>
      <c r="AH29" s="178">
        <v>0</v>
      </c>
      <c r="AI29" s="178">
        <v>0</v>
      </c>
      <c r="AJ29" s="178">
        <v>0</v>
      </c>
      <c r="AK29" s="178"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  <c r="AU29" s="178">
        <v>0</v>
      </c>
    </row>
    <row r="30" spans="1:47" ht="12">
      <c r="A30" s="17" t="s">
        <v>115</v>
      </c>
      <c r="B30" s="9"/>
      <c r="C30" s="180">
        <f t="shared" si="4"/>
        <v>-180000</v>
      </c>
      <c r="D30" s="147"/>
      <c r="E30" s="150"/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f>-(Assumptions!$C37*Assumptions!$C29)/6</f>
        <v>-30000</v>
      </c>
      <c r="N30" s="178">
        <f>-(Assumptions!$C37*Assumptions!$C29)/6</f>
        <v>-30000</v>
      </c>
      <c r="O30" s="178">
        <f>-(Assumptions!$C37*Assumptions!$C29)/6</f>
        <v>-30000</v>
      </c>
      <c r="P30" s="178">
        <f>-(Assumptions!$C37*Assumptions!$C29)/6</f>
        <v>-30000</v>
      </c>
      <c r="Q30" s="178">
        <f>-(Assumptions!$C37*Assumptions!$C29)/6</f>
        <v>-30000</v>
      </c>
      <c r="R30" s="178">
        <f>-(Assumptions!$C37*Assumptions!$C29)/6</f>
        <v>-30000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</row>
    <row r="31" spans="1:47" ht="12">
      <c r="A31" s="34" t="s">
        <v>126</v>
      </c>
      <c r="B31" s="9"/>
      <c r="C31" s="180">
        <f t="shared" si="4"/>
        <v>-10000</v>
      </c>
      <c r="D31" s="147"/>
      <c r="E31" s="150"/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f>-Assumptions!C38*'Sales Proceeds'!R6</f>
        <v>-1000</v>
      </c>
      <c r="S31" s="178">
        <v>0</v>
      </c>
      <c r="T31" s="178">
        <v>0</v>
      </c>
      <c r="U31" s="178">
        <f>-Assumptions!C38*'Sales Proceeds'!U6</f>
        <v>-1000</v>
      </c>
      <c r="V31" s="178">
        <v>0</v>
      </c>
      <c r="W31" s="178">
        <v>0</v>
      </c>
      <c r="X31" s="178">
        <f>-Assumptions!C38*'Sales Proceeds'!X6</f>
        <v>-1000</v>
      </c>
      <c r="Y31" s="178">
        <v>0</v>
      </c>
      <c r="Z31" s="178">
        <v>0</v>
      </c>
      <c r="AA31" s="178">
        <f>-Assumptions!C38*'Sales Proceeds'!AA6</f>
        <v>-1000</v>
      </c>
      <c r="AB31" s="178">
        <v>0</v>
      </c>
      <c r="AC31" s="178">
        <v>0</v>
      </c>
      <c r="AD31" s="178">
        <f>-Assumptions!C38*'Sales Proceeds'!AD6</f>
        <v>-1000</v>
      </c>
      <c r="AE31" s="178">
        <v>0</v>
      </c>
      <c r="AF31" s="178">
        <v>0</v>
      </c>
      <c r="AG31" s="178">
        <f>-Assumptions!C38*'Sales Proceeds'!AG6</f>
        <v>-1000</v>
      </c>
      <c r="AH31" s="178">
        <v>0</v>
      </c>
      <c r="AI31" s="178">
        <v>0</v>
      </c>
      <c r="AJ31" s="178">
        <f>-Assumptions!C38*'Sales Proceeds'!AJ6</f>
        <v>-1000</v>
      </c>
      <c r="AK31" s="178">
        <v>0</v>
      </c>
      <c r="AL31" s="178">
        <v>0</v>
      </c>
      <c r="AM31" s="178">
        <f>-Assumptions!C38*'Sales Proceeds'!AM6</f>
        <v>-1000</v>
      </c>
      <c r="AN31" s="178">
        <v>0</v>
      </c>
      <c r="AO31" s="178">
        <v>0</v>
      </c>
      <c r="AP31" s="178">
        <f>-Assumptions!C38*'Sales Proceeds'!AP6</f>
        <v>-1000</v>
      </c>
      <c r="AQ31" s="178">
        <v>0</v>
      </c>
      <c r="AR31" s="178">
        <v>0</v>
      </c>
      <c r="AS31" s="178">
        <f>-Assumptions!C38*'Sales Proceeds'!AS6</f>
        <v>-1000</v>
      </c>
      <c r="AT31" s="178">
        <v>0</v>
      </c>
      <c r="AU31" s="178">
        <v>0</v>
      </c>
    </row>
    <row r="32" spans="1:47" ht="12">
      <c r="A32" s="34" t="s">
        <v>125</v>
      </c>
      <c r="B32" s="9"/>
      <c r="C32" s="180">
        <f t="shared" si="4"/>
        <v>-50000</v>
      </c>
      <c r="D32" s="147"/>
      <c r="E32" s="150"/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0</v>
      </c>
      <c r="X32" s="178">
        <v>0</v>
      </c>
      <c r="Y32" s="178">
        <v>0</v>
      </c>
      <c r="Z32" s="178">
        <v>0</v>
      </c>
      <c r="AA32" s="178">
        <v>0</v>
      </c>
      <c r="AB32" s="178">
        <v>0</v>
      </c>
      <c r="AC32" s="178">
        <v>0</v>
      </c>
      <c r="AD32" s="178">
        <v>0</v>
      </c>
      <c r="AE32" s="178">
        <v>0</v>
      </c>
      <c r="AF32" s="178">
        <v>0</v>
      </c>
      <c r="AG32" s="178">
        <v>0</v>
      </c>
      <c r="AH32" s="178">
        <v>0</v>
      </c>
      <c r="AI32" s="178">
        <v>0</v>
      </c>
      <c r="AJ32" s="178">
        <v>0</v>
      </c>
      <c r="AK32" s="178"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  <c r="AU32" s="178">
        <f>-Assumptions!$C39*Assumptions!$C29</f>
        <v>-50000</v>
      </c>
    </row>
    <row r="33" spans="1:47" ht="12">
      <c r="A33" s="34" t="s">
        <v>45</v>
      </c>
      <c r="B33" s="9"/>
      <c r="C33" s="180">
        <f t="shared" si="4"/>
        <v>-17500</v>
      </c>
      <c r="D33" s="147"/>
      <c r="E33" s="150"/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f>-Assumptions!$C40</f>
        <v>-500</v>
      </c>
      <c r="N33" s="178">
        <f>-Assumptions!$C40</f>
        <v>-500</v>
      </c>
      <c r="O33" s="178">
        <f>-Assumptions!$C40</f>
        <v>-500</v>
      </c>
      <c r="P33" s="178">
        <f>-Assumptions!$C40</f>
        <v>-500</v>
      </c>
      <c r="Q33" s="178">
        <f>-Assumptions!$C40</f>
        <v>-500</v>
      </c>
      <c r="R33" s="178">
        <f>-Assumptions!$C40</f>
        <v>-500</v>
      </c>
      <c r="S33" s="178">
        <f>-Assumptions!$C40</f>
        <v>-500</v>
      </c>
      <c r="T33" s="178">
        <f>-Assumptions!$C40</f>
        <v>-500</v>
      </c>
      <c r="U33" s="178">
        <f>-Assumptions!$C40</f>
        <v>-500</v>
      </c>
      <c r="V33" s="178">
        <f>-Assumptions!$C40</f>
        <v>-500</v>
      </c>
      <c r="W33" s="178">
        <f>-Assumptions!$C40</f>
        <v>-500</v>
      </c>
      <c r="X33" s="178">
        <f>-Assumptions!$C40</f>
        <v>-500</v>
      </c>
      <c r="Y33" s="178">
        <f>-Assumptions!$C40</f>
        <v>-500</v>
      </c>
      <c r="Z33" s="178">
        <f>-Assumptions!$C40</f>
        <v>-500</v>
      </c>
      <c r="AA33" s="178">
        <f>-Assumptions!$C40</f>
        <v>-500</v>
      </c>
      <c r="AB33" s="178">
        <f>-Assumptions!$C40</f>
        <v>-500</v>
      </c>
      <c r="AC33" s="178">
        <f>-Assumptions!$C40</f>
        <v>-500</v>
      </c>
      <c r="AD33" s="178">
        <f>-Assumptions!$C40</f>
        <v>-500</v>
      </c>
      <c r="AE33" s="178">
        <f>-Assumptions!$C40</f>
        <v>-500</v>
      </c>
      <c r="AF33" s="178">
        <f>-Assumptions!$C40</f>
        <v>-500</v>
      </c>
      <c r="AG33" s="178">
        <f>-Assumptions!$C40</f>
        <v>-500</v>
      </c>
      <c r="AH33" s="178">
        <f>-Assumptions!$C40</f>
        <v>-500</v>
      </c>
      <c r="AI33" s="178">
        <f>-Assumptions!$C40</f>
        <v>-500</v>
      </c>
      <c r="AJ33" s="178">
        <f>-Assumptions!$C40</f>
        <v>-500</v>
      </c>
      <c r="AK33" s="178">
        <f>-Assumptions!$C40</f>
        <v>-500</v>
      </c>
      <c r="AL33" s="178">
        <f>-Assumptions!$C40</f>
        <v>-500</v>
      </c>
      <c r="AM33" s="178">
        <f>-Assumptions!$C40</f>
        <v>-500</v>
      </c>
      <c r="AN33" s="178">
        <f>-Assumptions!$C40</f>
        <v>-500</v>
      </c>
      <c r="AO33" s="178">
        <f>-Assumptions!$C40</f>
        <v>-500</v>
      </c>
      <c r="AP33" s="178">
        <f>-Assumptions!$C40</f>
        <v>-500</v>
      </c>
      <c r="AQ33" s="178">
        <f>-Assumptions!$C40</f>
        <v>-500</v>
      </c>
      <c r="AR33" s="178">
        <f>-Assumptions!$C40</f>
        <v>-500</v>
      </c>
      <c r="AS33" s="178">
        <f>-Assumptions!$C40</f>
        <v>-500</v>
      </c>
      <c r="AT33" s="178">
        <f>-Assumptions!$C40</f>
        <v>-500</v>
      </c>
      <c r="AU33" s="178">
        <f>-Assumptions!$C40</f>
        <v>-500</v>
      </c>
    </row>
    <row r="34" spans="1:47" ht="12">
      <c r="A34" s="34" t="s">
        <v>60</v>
      </c>
      <c r="B34" s="9"/>
      <c r="C34" s="180">
        <f t="shared" si="4"/>
        <v>-10000</v>
      </c>
      <c r="D34" s="147"/>
      <c r="E34" s="150"/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f>-Assumptions!C41</f>
        <v>-10000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  <c r="AU34" s="178">
        <v>0</v>
      </c>
    </row>
    <row r="35" spans="1:47" ht="12">
      <c r="A35" s="34" t="s">
        <v>116</v>
      </c>
      <c r="B35" s="9"/>
      <c r="C35" s="180">
        <f t="shared" si="4"/>
        <v>-63600</v>
      </c>
      <c r="D35" s="147"/>
      <c r="E35" s="150"/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85">
        <f>-Assumptions!C30*Assumptions!C42*6/12</f>
        <v>-6000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85">
        <f>-(100-'Sales Proceeds'!AC7)*Assumptions!$C28*Assumptions!$C43</f>
        <v>-43200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f>-(100-'Sales Proceeds'!AO7)*Assumptions!$C28*Assumptions!$C43</f>
        <v>-14400</v>
      </c>
      <c r="AP35" s="185">
        <v>0</v>
      </c>
      <c r="AQ35" s="178">
        <v>0</v>
      </c>
      <c r="AR35" s="178">
        <v>0</v>
      </c>
      <c r="AS35" s="178">
        <v>0</v>
      </c>
      <c r="AT35" s="178">
        <v>0</v>
      </c>
      <c r="AU35" s="178">
        <v>0</v>
      </c>
    </row>
    <row r="36" spans="1:47" ht="12">
      <c r="A36" s="51" t="s">
        <v>6</v>
      </c>
      <c r="B36" s="9"/>
      <c r="C36" s="180">
        <f t="shared" si="4"/>
        <v>-352100</v>
      </c>
      <c r="D36" s="147"/>
      <c r="E36" s="150"/>
      <c r="F36" s="179">
        <f>SUM(F26:F35)</f>
        <v>0</v>
      </c>
      <c r="G36" s="179">
        <f aca="true" t="shared" si="5" ref="G36:AU36">SUM(G26:G35)</f>
        <v>0</v>
      </c>
      <c r="H36" s="179">
        <f t="shared" si="5"/>
        <v>0</v>
      </c>
      <c r="I36" s="179">
        <f t="shared" si="5"/>
        <v>0</v>
      </c>
      <c r="J36" s="179">
        <f t="shared" si="5"/>
        <v>0</v>
      </c>
      <c r="K36" s="179">
        <f t="shared" si="5"/>
        <v>0</v>
      </c>
      <c r="L36" s="179">
        <f t="shared" si="5"/>
        <v>-31000</v>
      </c>
      <c r="M36" s="179">
        <f t="shared" si="5"/>
        <v>-30500</v>
      </c>
      <c r="N36" s="179">
        <f t="shared" si="5"/>
        <v>-30500</v>
      </c>
      <c r="O36" s="179">
        <f t="shared" si="5"/>
        <v>-30500</v>
      </c>
      <c r="P36" s="179">
        <f t="shared" si="5"/>
        <v>-30500</v>
      </c>
      <c r="Q36" s="179">
        <f t="shared" si="5"/>
        <v>-30500</v>
      </c>
      <c r="R36" s="179">
        <f t="shared" si="5"/>
        <v>-37500</v>
      </c>
      <c r="S36" s="179">
        <f t="shared" si="5"/>
        <v>-500</v>
      </c>
      <c r="T36" s="179">
        <f t="shared" si="5"/>
        <v>-500</v>
      </c>
      <c r="U36" s="179">
        <f t="shared" si="5"/>
        <v>-1500</v>
      </c>
      <c r="V36" s="179">
        <f t="shared" si="5"/>
        <v>-500</v>
      </c>
      <c r="W36" s="179">
        <f t="shared" si="5"/>
        <v>-500</v>
      </c>
      <c r="X36" s="179">
        <f t="shared" si="5"/>
        <v>-1500</v>
      </c>
      <c r="Y36" s="179">
        <f t="shared" si="5"/>
        <v>-500</v>
      </c>
      <c r="Z36" s="179">
        <f t="shared" si="5"/>
        <v>-500</v>
      </c>
      <c r="AA36" s="179">
        <f t="shared" si="5"/>
        <v>-1500</v>
      </c>
      <c r="AB36" s="179">
        <f t="shared" si="5"/>
        <v>-500</v>
      </c>
      <c r="AC36" s="179">
        <f t="shared" si="5"/>
        <v>-500</v>
      </c>
      <c r="AD36" s="179">
        <f t="shared" si="5"/>
        <v>-44700</v>
      </c>
      <c r="AE36" s="179">
        <f t="shared" si="5"/>
        <v>-500</v>
      </c>
      <c r="AF36" s="179">
        <f t="shared" si="5"/>
        <v>-500</v>
      </c>
      <c r="AG36" s="179">
        <f t="shared" si="5"/>
        <v>-1500</v>
      </c>
      <c r="AH36" s="179">
        <f t="shared" si="5"/>
        <v>-500</v>
      </c>
      <c r="AI36" s="179">
        <f t="shared" si="5"/>
        <v>-500</v>
      </c>
      <c r="AJ36" s="179">
        <f t="shared" si="5"/>
        <v>-1500</v>
      </c>
      <c r="AK36" s="179">
        <f t="shared" si="5"/>
        <v>-500</v>
      </c>
      <c r="AL36" s="179">
        <f t="shared" si="5"/>
        <v>-500</v>
      </c>
      <c r="AM36" s="179">
        <f t="shared" si="5"/>
        <v>-1500</v>
      </c>
      <c r="AN36" s="179">
        <f t="shared" si="5"/>
        <v>-500</v>
      </c>
      <c r="AO36" s="179">
        <f t="shared" si="5"/>
        <v>-14900</v>
      </c>
      <c r="AP36" s="179">
        <f t="shared" si="5"/>
        <v>-1500</v>
      </c>
      <c r="AQ36" s="179">
        <f t="shared" si="5"/>
        <v>-500</v>
      </c>
      <c r="AR36" s="179">
        <f t="shared" si="5"/>
        <v>-500</v>
      </c>
      <c r="AS36" s="179">
        <f t="shared" si="5"/>
        <v>-1500</v>
      </c>
      <c r="AT36" s="179">
        <f t="shared" si="5"/>
        <v>-500</v>
      </c>
      <c r="AU36" s="179">
        <f t="shared" si="5"/>
        <v>-50500</v>
      </c>
    </row>
    <row r="37" spans="1:47" ht="12">
      <c r="A37" s="52"/>
      <c r="B37" s="53"/>
      <c r="C37" s="143"/>
      <c r="D37" s="147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</row>
    <row r="38" spans="1:47" ht="12">
      <c r="A38" s="81" t="s">
        <v>63</v>
      </c>
      <c r="B38" s="53"/>
      <c r="C38" s="180">
        <f>SUM(F38:AU38)</f>
        <v>-636889.3999999999</v>
      </c>
      <c r="D38" s="147"/>
      <c r="E38" s="143"/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0">
        <v>0</v>
      </c>
      <c r="AF38" s="180">
        <v>0</v>
      </c>
      <c r="AG38" s="180">
        <v>0</v>
      </c>
      <c r="AH38" s="180">
        <v>0</v>
      </c>
      <c r="AI38" s="180">
        <v>0</v>
      </c>
      <c r="AJ38" s="180">
        <v>0</v>
      </c>
      <c r="AK38" s="180"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  <c r="AU38" s="180">
        <f>-(J8+L8)</f>
        <v>-636889.3999999999</v>
      </c>
    </row>
    <row r="39" spans="1:47" ht="12">
      <c r="A39" s="81" t="s">
        <v>35</v>
      </c>
      <c r="B39" s="53"/>
      <c r="C39" s="180">
        <f>SUM(F39:AU39)</f>
        <v>-787478</v>
      </c>
      <c r="D39" s="147"/>
      <c r="E39" s="143"/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0">
        <v>0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  <c r="AU39" s="180">
        <v>-787478</v>
      </c>
    </row>
    <row r="40" spans="1:47" ht="12">
      <c r="A40" s="52"/>
      <c r="B40" s="53"/>
      <c r="C40" s="143"/>
      <c r="D40" s="147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</row>
    <row r="41" spans="1:47" ht="12">
      <c r="A41" s="51" t="s">
        <v>17</v>
      </c>
      <c r="B41" s="9"/>
      <c r="C41" s="151"/>
      <c r="D41" s="147"/>
      <c r="E41" s="15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</row>
    <row r="42" spans="1:47" ht="12">
      <c r="A42" s="34" t="s">
        <v>71</v>
      </c>
      <c r="B42" s="9"/>
      <c r="C42" s="180">
        <f>SUM(F42:AU42)</f>
        <v>-2799360</v>
      </c>
      <c r="D42" s="147"/>
      <c r="E42" s="150"/>
      <c r="F42" s="178">
        <f>'Debt Schedule'!F11</f>
        <v>0</v>
      </c>
      <c r="G42" s="178">
        <f>'Debt Schedule'!G11</f>
        <v>0</v>
      </c>
      <c r="H42" s="178">
        <f>'Debt Schedule'!H11</f>
        <v>0</v>
      </c>
      <c r="I42" s="178">
        <f>'Debt Schedule'!I11</f>
        <v>0</v>
      </c>
      <c r="J42" s="178">
        <f>'Debt Schedule'!J11</f>
        <v>0</v>
      </c>
      <c r="K42" s="178">
        <f>'Debt Schedule'!K11</f>
        <v>0</v>
      </c>
      <c r="L42" s="178">
        <f>'Debt Schedule'!L11</f>
        <v>0</v>
      </c>
      <c r="M42" s="178">
        <f>'Debt Schedule'!M11</f>
        <v>0</v>
      </c>
      <c r="N42" s="178">
        <f>'Debt Schedule'!N11</f>
        <v>0</v>
      </c>
      <c r="O42" s="178">
        <f>'Debt Schedule'!O11</f>
        <v>0</v>
      </c>
      <c r="P42" s="178">
        <f>'Debt Schedule'!P11</f>
        <v>0</v>
      </c>
      <c r="Q42" s="178">
        <f>'Debt Schedule'!Q11</f>
        <v>0</v>
      </c>
      <c r="R42" s="178">
        <f>'Debt Schedule'!R11</f>
        <v>-324000</v>
      </c>
      <c r="S42" s="178">
        <f>'Debt Schedule'!S11</f>
        <v>0</v>
      </c>
      <c r="T42" s="178">
        <f>'Debt Schedule'!T11</f>
        <v>0</v>
      </c>
      <c r="U42" s="178">
        <f>'Debt Schedule'!U11</f>
        <v>-331087.5</v>
      </c>
      <c r="V42" s="178">
        <f>'Debt Schedule'!V11</f>
        <v>0</v>
      </c>
      <c r="W42" s="178">
        <f>'Debt Schedule'!W11</f>
        <v>0</v>
      </c>
      <c r="X42" s="178">
        <f>'Debt Schedule'!X11</f>
        <v>-338175</v>
      </c>
      <c r="Y42" s="178">
        <f>'Debt Schedule'!Y11</f>
        <v>0</v>
      </c>
      <c r="Z42" s="178">
        <f>'Debt Schedule'!Z11</f>
        <v>0</v>
      </c>
      <c r="AA42" s="178">
        <f>'Debt Schedule'!AA11</f>
        <v>-345262.5</v>
      </c>
      <c r="AB42" s="178">
        <f>'Debt Schedule'!AB11</f>
        <v>0</v>
      </c>
      <c r="AC42" s="178">
        <f>'Debt Schedule'!AC11</f>
        <v>0</v>
      </c>
      <c r="AD42" s="178">
        <f>'Debt Schedule'!AD11</f>
        <v>-353970</v>
      </c>
      <c r="AE42" s="178">
        <f>'Debt Schedule'!AE11</f>
        <v>0</v>
      </c>
      <c r="AF42" s="178">
        <f>'Debt Schedule'!AF11</f>
        <v>0</v>
      </c>
      <c r="AG42" s="178">
        <f>'Debt Schedule'!AG11</f>
        <v>-361462.5</v>
      </c>
      <c r="AH42" s="178">
        <f>'Debt Schedule'!AH11</f>
        <v>0</v>
      </c>
      <c r="AI42" s="178">
        <f>'Debt Schedule'!AI11</f>
        <v>0</v>
      </c>
      <c r="AJ42" s="178">
        <f>'Debt Schedule'!AJ11</f>
        <v>-368955</v>
      </c>
      <c r="AK42" s="178">
        <f>'Debt Schedule'!AK11</f>
        <v>0</v>
      </c>
      <c r="AL42" s="178">
        <f>'Debt Schedule'!AL11</f>
        <v>0</v>
      </c>
      <c r="AM42" s="178">
        <f>'Debt Schedule'!AM11</f>
        <v>-376447.5</v>
      </c>
      <c r="AN42" s="178">
        <f>'Debt Schedule'!AN11</f>
        <v>0</v>
      </c>
      <c r="AO42" s="178">
        <f>'Debt Schedule'!AO11</f>
        <v>0</v>
      </c>
      <c r="AP42" s="178">
        <f>'Debt Schedule'!AP11</f>
        <v>0</v>
      </c>
      <c r="AQ42" s="178">
        <f>'Debt Schedule'!AQ11</f>
        <v>0</v>
      </c>
      <c r="AR42" s="178">
        <f>'Debt Schedule'!AR11</f>
        <v>0</v>
      </c>
      <c r="AS42" s="178">
        <f>'Debt Schedule'!AS11</f>
        <v>0</v>
      </c>
      <c r="AT42" s="178">
        <f>'Debt Schedule'!AT11</f>
        <v>0</v>
      </c>
      <c r="AU42" s="178">
        <f>'Debt Schedule'!AU11</f>
        <v>0</v>
      </c>
    </row>
    <row r="43" spans="1:47" ht="12">
      <c r="A43" s="34" t="s">
        <v>72</v>
      </c>
      <c r="B43" s="26"/>
      <c r="C43" s="180">
        <f>SUM(F43:AU43)</f>
        <v>322202</v>
      </c>
      <c r="D43" s="147"/>
      <c r="E43" s="141"/>
      <c r="F43" s="178">
        <f>'Debt Schedule'!F12</f>
        <v>0</v>
      </c>
      <c r="G43" s="178">
        <f>'Debt Schedule'!G12</f>
        <v>0</v>
      </c>
      <c r="H43" s="178">
        <f>'Debt Schedule'!H12</f>
        <v>0</v>
      </c>
      <c r="I43" s="178">
        <f>'Debt Schedule'!I12</f>
        <v>0</v>
      </c>
      <c r="J43" s="178">
        <f>'Debt Schedule'!J12</f>
        <v>0</v>
      </c>
      <c r="K43" s="178">
        <f>'Debt Schedule'!K12</f>
        <v>0</v>
      </c>
      <c r="L43" s="178">
        <f>'Debt Schedule'!L12</f>
        <v>0</v>
      </c>
      <c r="M43" s="178">
        <f>'Debt Schedule'!M12</f>
        <v>0</v>
      </c>
      <c r="N43" s="178">
        <f>'Debt Schedule'!N12</f>
        <v>0</v>
      </c>
      <c r="O43" s="178">
        <f>'Debt Schedule'!O12</f>
        <v>0</v>
      </c>
      <c r="P43" s="178">
        <f>'Debt Schedule'!P12</f>
        <v>0</v>
      </c>
      <c r="Q43" s="178">
        <f>'Debt Schedule'!Q12</f>
        <v>0</v>
      </c>
      <c r="R43" s="178">
        <f>'Debt Schedule'!R12</f>
        <v>0</v>
      </c>
      <c r="S43" s="178">
        <f>'Debt Schedule'!S12</f>
        <v>0</v>
      </c>
      <c r="T43" s="178">
        <f>'Debt Schedule'!T12</f>
        <v>0</v>
      </c>
      <c r="U43" s="178">
        <f>'Debt Schedule'!U12</f>
        <v>0</v>
      </c>
      <c r="V43" s="178">
        <f>'Debt Schedule'!V12</f>
        <v>0</v>
      </c>
      <c r="W43" s="178">
        <f>'Debt Schedule'!W12</f>
        <v>0</v>
      </c>
      <c r="X43" s="178">
        <f>'Debt Schedule'!X12</f>
        <v>0</v>
      </c>
      <c r="Y43" s="178">
        <f>'Debt Schedule'!Y12</f>
        <v>0</v>
      </c>
      <c r="Z43" s="178">
        <f>'Debt Schedule'!Z12</f>
        <v>0</v>
      </c>
      <c r="AA43" s="178">
        <f>'Debt Schedule'!AA12</f>
        <v>0</v>
      </c>
      <c r="AB43" s="178">
        <f>'Debt Schedule'!AB12</f>
        <v>0</v>
      </c>
      <c r="AC43" s="178">
        <f>'Debt Schedule'!AC12</f>
        <v>0</v>
      </c>
      <c r="AD43" s="178">
        <f>'Debt Schedule'!AD12</f>
        <v>0</v>
      </c>
      <c r="AE43" s="178">
        <f>'Debt Schedule'!AE12</f>
        <v>0</v>
      </c>
      <c r="AF43" s="178">
        <f>'Debt Schedule'!AF12</f>
        <v>0</v>
      </c>
      <c r="AG43" s="178">
        <f>'Debt Schedule'!AG12</f>
        <v>0</v>
      </c>
      <c r="AH43" s="178">
        <f>'Debt Schedule'!AH12</f>
        <v>0</v>
      </c>
      <c r="AI43" s="178">
        <f>'Debt Schedule'!AI12</f>
        <v>0</v>
      </c>
      <c r="AJ43" s="178">
        <f>'Debt Schedule'!AJ12</f>
        <v>0</v>
      </c>
      <c r="AK43" s="178">
        <f>'Debt Schedule'!AK12</f>
        <v>0</v>
      </c>
      <c r="AL43" s="178">
        <f>'Debt Schedule'!AL12</f>
        <v>0</v>
      </c>
      <c r="AM43" s="178">
        <f>'Debt Schedule'!AM12</f>
        <v>322202</v>
      </c>
      <c r="AN43" s="178">
        <f>'Debt Schedule'!AN12</f>
        <v>0</v>
      </c>
      <c r="AO43" s="178">
        <f>'Debt Schedule'!AO12</f>
        <v>0</v>
      </c>
      <c r="AP43" s="178">
        <f>'Debt Schedule'!AP12</f>
        <v>0</v>
      </c>
      <c r="AQ43" s="178">
        <f>'Debt Schedule'!AQ12</f>
        <v>0</v>
      </c>
      <c r="AR43" s="178">
        <f>'Debt Schedule'!AR12</f>
        <v>0</v>
      </c>
      <c r="AS43" s="178">
        <f>'Debt Schedule'!AS12</f>
        <v>0</v>
      </c>
      <c r="AT43" s="178">
        <f>'Debt Schedule'!AT12</f>
        <v>0</v>
      </c>
      <c r="AU43" s="178">
        <f>'Debt Schedule'!AU12</f>
        <v>0</v>
      </c>
    </row>
    <row r="44" spans="1:47" ht="12">
      <c r="A44" s="34" t="s">
        <v>73</v>
      </c>
      <c r="B44" s="9"/>
      <c r="C44" s="180">
        <f>SUM(F44:AU44)</f>
        <v>-182347.01805224412</v>
      </c>
      <c r="D44" s="147"/>
      <c r="E44" s="150"/>
      <c r="F44" s="178">
        <f>-'Debt Schedule'!F16</f>
        <v>0</v>
      </c>
      <c r="G44" s="178">
        <f>-'Debt Schedule'!G16</f>
        <v>0</v>
      </c>
      <c r="H44" s="178">
        <f>-'Debt Schedule'!H16</f>
        <v>0</v>
      </c>
      <c r="I44" s="178">
        <f>-'Debt Schedule'!I16</f>
        <v>0</v>
      </c>
      <c r="J44" s="178">
        <f>-'Debt Schedule'!J16</f>
        <v>0</v>
      </c>
      <c r="K44" s="178">
        <f>-'Debt Schedule'!K16</f>
        <v>0</v>
      </c>
      <c r="L44" s="178">
        <f>-'Debt Schedule'!L16</f>
        <v>0</v>
      </c>
      <c r="M44" s="178">
        <f>-'Debt Schedule'!M16</f>
        <v>-930.7142916666672</v>
      </c>
      <c r="N44" s="178">
        <f>-'Debt Schedule'!N16</f>
        <v>-3178.843210355904</v>
      </c>
      <c r="O44" s="178">
        <f>-'Debt Schedule'!O16</f>
        <v>-5441.491294978342</v>
      </c>
      <c r="P44" s="178">
        <f>-'Debt Schedule'!P16</f>
        <v>-7718.7523151473</v>
      </c>
      <c r="Q44" s="178">
        <f>-'Debt Schedule'!Q16</f>
        <v>-10010.720646071515</v>
      </c>
      <c r="R44" s="178">
        <f>-'Debt Schedule'!R16</f>
        <v>-12317.491272466284</v>
      </c>
      <c r="S44" s="178">
        <f>-'Debt Schedule'!S16</f>
        <v>-12591.868125823183</v>
      </c>
      <c r="T44" s="178">
        <f>-'Debt Schedule'!T16</f>
        <v>-12676.419774135791</v>
      </c>
      <c r="U44" s="178">
        <f>-'Debt Schedule'!U16</f>
        <v>-12761.517485177084</v>
      </c>
      <c r="V44" s="178">
        <f>-'Debt Schedule'!V16</f>
        <v>-10715.34968143552</v>
      </c>
      <c r="W44" s="178">
        <f>-'Debt Schedule'!W16</f>
        <v>-10787.782148128126</v>
      </c>
      <c r="X44" s="178">
        <f>-'Debt Schedule'!X16</f>
        <v>-10860.682407834787</v>
      </c>
      <c r="Y44" s="178">
        <f>-'Debt Schedule'!Y16</f>
        <v>-8756.464940052052</v>
      </c>
      <c r="Z44" s="178">
        <f>-'Debt Schedule'!Z16</f>
        <v>-8816.246276123222</v>
      </c>
      <c r="AA44" s="178">
        <f>-'Debt Schedule'!AA16</f>
        <v>-8876.413699989851</v>
      </c>
      <c r="AB44" s="178">
        <f>-'Debt Schedule'!AB16</f>
        <v>-6713.607725968953</v>
      </c>
      <c r="AC44" s="178">
        <f>-'Debt Schedule'!AC16</f>
        <v>-6760.19560919917</v>
      </c>
      <c r="AD44" s="178">
        <f>-'Debt Schedule'!AD16</f>
        <v>-7246.251106218812</v>
      </c>
      <c r="AE44" s="178">
        <f>-'Debt Schedule'!AE16</f>
        <v>-5169.837832574067</v>
      </c>
      <c r="AF44" s="178">
        <f>-'Debt Schedule'!AF16</f>
        <v>-5208.817967673013</v>
      </c>
      <c r="AG44" s="178">
        <f>-'Debt Schedule'!AG16</f>
        <v>-5248.066091200765</v>
      </c>
      <c r="AH44" s="178">
        <f>-'Debt Schedule'!AH16</f>
        <v>-2809.404358077771</v>
      </c>
      <c r="AI44" s="178">
        <f>-'Debt Schedule'!AI16</f>
        <v>-2832.1565130395556</v>
      </c>
      <c r="AJ44" s="178">
        <f>-'Debt Schedule'!AJ16</f>
        <v>-2855.0650890667025</v>
      </c>
      <c r="AK44" s="178">
        <f>-'Debt Schedule'!AK16</f>
        <v>-348.4405365540361</v>
      </c>
      <c r="AL44" s="178">
        <f>-'Debt Schedule'!AL16</f>
        <v>-354.2735652428451</v>
      </c>
      <c r="AM44" s="178">
        <f>-'Debt Schedule'!AM16</f>
        <v>-360.1466960038897</v>
      </c>
      <c r="AN44" s="178">
        <f>-'Debt Schedule'!AN16</f>
        <v>0.0026079610836677604</v>
      </c>
      <c r="AO44" s="178">
        <f>-'Debt Schedule'!AO16</f>
        <v>0</v>
      </c>
      <c r="AP44" s="178">
        <f>-'Debt Schedule'!AP16</f>
        <v>0</v>
      </c>
      <c r="AQ44" s="178">
        <f>-'Debt Schedule'!AQ16</f>
        <v>0</v>
      </c>
      <c r="AR44" s="178">
        <f>-'Debt Schedule'!AR16</f>
        <v>0</v>
      </c>
      <c r="AS44" s="178">
        <f>-'Debt Schedule'!AS16</f>
        <v>0</v>
      </c>
      <c r="AT44" s="178">
        <f>-'Debt Schedule'!AT16</f>
        <v>0</v>
      </c>
      <c r="AU44" s="178">
        <f>-'Debt Schedule'!AU16</f>
        <v>0</v>
      </c>
    </row>
    <row r="45" spans="1:47" ht="12">
      <c r="A45" s="51" t="s">
        <v>6</v>
      </c>
      <c r="B45" s="9"/>
      <c r="C45" s="180">
        <f>SUM(F45:AU45)</f>
        <v>-2659505.018052244</v>
      </c>
      <c r="D45" s="147"/>
      <c r="E45" s="150"/>
      <c r="F45" s="179">
        <f>SUM(F42:F44)</f>
        <v>0</v>
      </c>
      <c r="G45" s="179">
        <f aca="true" t="shared" si="6" ref="G45:AU45">SUM(G42:G44)</f>
        <v>0</v>
      </c>
      <c r="H45" s="179">
        <f t="shared" si="6"/>
        <v>0</v>
      </c>
      <c r="I45" s="179">
        <f t="shared" si="6"/>
        <v>0</v>
      </c>
      <c r="J45" s="179">
        <f t="shared" si="6"/>
        <v>0</v>
      </c>
      <c r="K45" s="179">
        <f t="shared" si="6"/>
        <v>0</v>
      </c>
      <c r="L45" s="179">
        <f t="shared" si="6"/>
        <v>0</v>
      </c>
      <c r="M45" s="179">
        <f t="shared" si="6"/>
        <v>-930.7142916666672</v>
      </c>
      <c r="N45" s="179">
        <f t="shared" si="6"/>
        <v>-3178.843210355904</v>
      </c>
      <c r="O45" s="179">
        <f t="shared" si="6"/>
        <v>-5441.491294978342</v>
      </c>
      <c r="P45" s="179">
        <f t="shared" si="6"/>
        <v>-7718.7523151473</v>
      </c>
      <c r="Q45" s="179">
        <f t="shared" si="6"/>
        <v>-10010.720646071515</v>
      </c>
      <c r="R45" s="179">
        <f t="shared" si="6"/>
        <v>-336317.49127246626</v>
      </c>
      <c r="S45" s="179">
        <f t="shared" si="6"/>
        <v>-12591.868125823183</v>
      </c>
      <c r="T45" s="179">
        <f t="shared" si="6"/>
        <v>-12676.419774135791</v>
      </c>
      <c r="U45" s="179">
        <f t="shared" si="6"/>
        <v>-343849.0174851771</v>
      </c>
      <c r="V45" s="179">
        <f t="shared" si="6"/>
        <v>-10715.34968143552</v>
      </c>
      <c r="W45" s="179">
        <f t="shared" si="6"/>
        <v>-10787.782148128126</v>
      </c>
      <c r="X45" s="179">
        <f t="shared" si="6"/>
        <v>-349035.6824078348</v>
      </c>
      <c r="Y45" s="179">
        <f t="shared" si="6"/>
        <v>-8756.464940052052</v>
      </c>
      <c r="Z45" s="179">
        <f t="shared" si="6"/>
        <v>-8816.246276123222</v>
      </c>
      <c r="AA45" s="179">
        <f t="shared" si="6"/>
        <v>-354138.91369998985</v>
      </c>
      <c r="AB45" s="179">
        <f t="shared" si="6"/>
        <v>-6713.607725968953</v>
      </c>
      <c r="AC45" s="179">
        <f t="shared" si="6"/>
        <v>-6760.19560919917</v>
      </c>
      <c r="AD45" s="179">
        <f t="shared" si="6"/>
        <v>-361216.2511062188</v>
      </c>
      <c r="AE45" s="179">
        <f t="shared" si="6"/>
        <v>-5169.837832574067</v>
      </c>
      <c r="AF45" s="179">
        <f t="shared" si="6"/>
        <v>-5208.817967673013</v>
      </c>
      <c r="AG45" s="179">
        <f t="shared" si="6"/>
        <v>-366710.56609120074</v>
      </c>
      <c r="AH45" s="179">
        <f t="shared" si="6"/>
        <v>-2809.404358077771</v>
      </c>
      <c r="AI45" s="179">
        <f t="shared" si="6"/>
        <v>-2832.1565130395556</v>
      </c>
      <c r="AJ45" s="179">
        <f t="shared" si="6"/>
        <v>-371810.0650890667</v>
      </c>
      <c r="AK45" s="179">
        <f t="shared" si="6"/>
        <v>-348.4405365540361</v>
      </c>
      <c r="AL45" s="179">
        <f t="shared" si="6"/>
        <v>-354.2735652428451</v>
      </c>
      <c r="AM45" s="179">
        <f t="shared" si="6"/>
        <v>-54605.64669600389</v>
      </c>
      <c r="AN45" s="179">
        <f t="shared" si="6"/>
        <v>0.0026079610836677604</v>
      </c>
      <c r="AO45" s="179">
        <f t="shared" si="6"/>
        <v>0</v>
      </c>
      <c r="AP45" s="179">
        <f t="shared" si="6"/>
        <v>0</v>
      </c>
      <c r="AQ45" s="179">
        <f t="shared" si="6"/>
        <v>0</v>
      </c>
      <c r="AR45" s="179">
        <f t="shared" si="6"/>
        <v>0</v>
      </c>
      <c r="AS45" s="179">
        <f t="shared" si="6"/>
        <v>0</v>
      </c>
      <c r="AT45" s="179">
        <f t="shared" si="6"/>
        <v>0</v>
      </c>
      <c r="AU45" s="179">
        <f t="shared" si="6"/>
        <v>0</v>
      </c>
    </row>
    <row r="46" spans="1:47" ht="12">
      <c r="A46" s="17"/>
      <c r="B46" s="26"/>
      <c r="C46" s="143"/>
      <c r="D46" s="147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</row>
    <row r="47" spans="1:47" ht="12">
      <c r="A47" s="51" t="s">
        <v>19</v>
      </c>
      <c r="B47" s="26"/>
      <c r="C47" s="180">
        <f>SUM(F47:AU47)</f>
        <v>-7085972.418052243</v>
      </c>
      <c r="D47" s="147"/>
      <c r="E47" s="141"/>
      <c r="F47" s="181">
        <f>SUM(F18+F23+F36+F38+F39+F45)</f>
        <v>0</v>
      </c>
      <c r="G47" s="181">
        <f aca="true" t="shared" si="7" ref="G47:AU47">SUM(G18+G23+G36+G38+G39+G45)</f>
        <v>0</v>
      </c>
      <c r="H47" s="181">
        <f t="shared" si="7"/>
        <v>0</v>
      </c>
      <c r="I47" s="181">
        <f t="shared" si="7"/>
        <v>0</v>
      </c>
      <c r="J47" s="181">
        <f t="shared" si="7"/>
        <v>0</v>
      </c>
      <c r="K47" s="181">
        <f t="shared" si="7"/>
        <v>0</v>
      </c>
      <c r="L47" s="181">
        <f t="shared" si="7"/>
        <v>-781000</v>
      </c>
      <c r="M47" s="181">
        <f t="shared" si="7"/>
        <v>-348097.3809583334</v>
      </c>
      <c r="N47" s="181">
        <f t="shared" si="7"/>
        <v>-350345.5098770226</v>
      </c>
      <c r="O47" s="181">
        <f t="shared" si="7"/>
        <v>-352608.15796164505</v>
      </c>
      <c r="P47" s="181">
        <f t="shared" si="7"/>
        <v>-354885.418981814</v>
      </c>
      <c r="Q47" s="181">
        <f t="shared" si="7"/>
        <v>-357177.3873127382</v>
      </c>
      <c r="R47" s="181">
        <f t="shared" si="7"/>
        <v>-690484.157939133</v>
      </c>
      <c r="S47" s="181">
        <f t="shared" si="7"/>
        <v>-13091.868125823183</v>
      </c>
      <c r="T47" s="181">
        <f t="shared" si="7"/>
        <v>-13176.419774135791</v>
      </c>
      <c r="U47" s="181">
        <f t="shared" si="7"/>
        <v>-345349.0174851771</v>
      </c>
      <c r="V47" s="181">
        <f t="shared" si="7"/>
        <v>-11215.34968143552</v>
      </c>
      <c r="W47" s="181">
        <f t="shared" si="7"/>
        <v>-11287.782148128126</v>
      </c>
      <c r="X47" s="181">
        <f t="shared" si="7"/>
        <v>-350535.6824078348</v>
      </c>
      <c r="Y47" s="181">
        <f t="shared" si="7"/>
        <v>-9256.464940052052</v>
      </c>
      <c r="Z47" s="181">
        <f t="shared" si="7"/>
        <v>-9316.246276123222</v>
      </c>
      <c r="AA47" s="181">
        <f t="shared" si="7"/>
        <v>-355638.91369998985</v>
      </c>
      <c r="AB47" s="181">
        <f t="shared" si="7"/>
        <v>-7213.607725968953</v>
      </c>
      <c r="AC47" s="181">
        <f t="shared" si="7"/>
        <v>-7260.19560919917</v>
      </c>
      <c r="AD47" s="181">
        <f t="shared" si="7"/>
        <v>-405916.2511062188</v>
      </c>
      <c r="AE47" s="181">
        <f t="shared" si="7"/>
        <v>-5669.837832574067</v>
      </c>
      <c r="AF47" s="181">
        <f t="shared" si="7"/>
        <v>-5708.817967673013</v>
      </c>
      <c r="AG47" s="181">
        <f t="shared" si="7"/>
        <v>-368210.56609120074</v>
      </c>
      <c r="AH47" s="181">
        <f t="shared" si="7"/>
        <v>-3309.404358077771</v>
      </c>
      <c r="AI47" s="181">
        <f t="shared" si="7"/>
        <v>-3332.1565130395556</v>
      </c>
      <c r="AJ47" s="181">
        <f t="shared" si="7"/>
        <v>-373310.0650890667</v>
      </c>
      <c r="AK47" s="181">
        <f t="shared" si="7"/>
        <v>-848.440536554036</v>
      </c>
      <c r="AL47" s="181">
        <f t="shared" si="7"/>
        <v>-854.273565242845</v>
      </c>
      <c r="AM47" s="181">
        <f t="shared" si="7"/>
        <v>-56105.64669600389</v>
      </c>
      <c r="AN47" s="181">
        <f t="shared" si="7"/>
        <v>-499.99739203891636</v>
      </c>
      <c r="AO47" s="181">
        <f t="shared" si="7"/>
        <v>-14900</v>
      </c>
      <c r="AP47" s="181">
        <f t="shared" si="7"/>
        <v>-1500</v>
      </c>
      <c r="AQ47" s="181">
        <f t="shared" si="7"/>
        <v>-500</v>
      </c>
      <c r="AR47" s="181">
        <f t="shared" si="7"/>
        <v>-500</v>
      </c>
      <c r="AS47" s="181">
        <f t="shared" si="7"/>
        <v>-1500</v>
      </c>
      <c r="AT47" s="181">
        <f t="shared" si="7"/>
        <v>-500</v>
      </c>
      <c r="AU47" s="181">
        <f t="shared" si="7"/>
        <v>-1474867.4</v>
      </c>
    </row>
    <row r="48" spans="1:47" ht="12">
      <c r="A48" s="17"/>
      <c r="B48" s="26"/>
      <c r="C48" s="143"/>
      <c r="D48" s="152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</row>
    <row r="49" spans="1:47" ht="12">
      <c r="A49" s="54" t="s">
        <v>20</v>
      </c>
      <c r="B49" s="55"/>
      <c r="C49" s="182">
        <f>SUM(F49:AU49)</f>
        <v>-0.39739203872159123</v>
      </c>
      <c r="D49" s="154"/>
      <c r="E49" s="153"/>
      <c r="F49" s="179">
        <f>F47+F13</f>
        <v>0</v>
      </c>
      <c r="G49" s="179">
        <f aca="true" t="shared" si="8" ref="G49:AU49">G47+G13</f>
        <v>0</v>
      </c>
      <c r="H49" s="179">
        <f t="shared" si="8"/>
        <v>0</v>
      </c>
      <c r="I49" s="179">
        <f t="shared" si="8"/>
        <v>0</v>
      </c>
      <c r="J49" s="179">
        <f t="shared" si="8"/>
        <v>50000</v>
      </c>
      <c r="K49" s="179">
        <f t="shared" si="8"/>
        <v>0</v>
      </c>
      <c r="L49" s="179">
        <f t="shared" si="8"/>
        <v>-50000</v>
      </c>
      <c r="M49" s="179">
        <f t="shared" si="8"/>
        <v>0</v>
      </c>
      <c r="N49" s="179">
        <f t="shared" si="8"/>
        <v>0</v>
      </c>
      <c r="O49" s="179">
        <f t="shared" si="8"/>
        <v>0</v>
      </c>
      <c r="P49" s="179">
        <f t="shared" si="8"/>
        <v>0</v>
      </c>
      <c r="Q49" s="179">
        <f t="shared" si="8"/>
        <v>0</v>
      </c>
      <c r="R49" s="179">
        <f t="shared" si="8"/>
        <v>36000</v>
      </c>
      <c r="S49" s="179">
        <f t="shared" si="8"/>
        <v>0</v>
      </c>
      <c r="T49" s="179">
        <f t="shared" si="8"/>
        <v>0</v>
      </c>
      <c r="U49" s="179">
        <f t="shared" si="8"/>
        <v>36787.5</v>
      </c>
      <c r="V49" s="179">
        <f t="shared" si="8"/>
        <v>0</v>
      </c>
      <c r="W49" s="179">
        <f t="shared" si="8"/>
        <v>0</v>
      </c>
      <c r="X49" s="179">
        <f t="shared" si="8"/>
        <v>37575</v>
      </c>
      <c r="Y49" s="179">
        <f t="shared" si="8"/>
        <v>0</v>
      </c>
      <c r="Z49" s="179">
        <f t="shared" si="8"/>
        <v>0</v>
      </c>
      <c r="AA49" s="179">
        <f t="shared" si="8"/>
        <v>38362.5</v>
      </c>
      <c r="AB49" s="179">
        <f t="shared" si="8"/>
        <v>0</v>
      </c>
      <c r="AC49" s="179">
        <f t="shared" si="8"/>
        <v>0</v>
      </c>
      <c r="AD49" s="179">
        <f t="shared" si="8"/>
        <v>39330</v>
      </c>
      <c r="AE49" s="179">
        <f t="shared" si="8"/>
        <v>0</v>
      </c>
      <c r="AF49" s="179">
        <f t="shared" si="8"/>
        <v>0</v>
      </c>
      <c r="AG49" s="179">
        <f t="shared" si="8"/>
        <v>40162.5</v>
      </c>
      <c r="AH49" s="179">
        <f t="shared" si="8"/>
        <v>0</v>
      </c>
      <c r="AI49" s="179">
        <f t="shared" si="8"/>
        <v>0</v>
      </c>
      <c r="AJ49" s="179">
        <f t="shared" si="8"/>
        <v>40995</v>
      </c>
      <c r="AK49" s="179">
        <f t="shared" si="8"/>
        <v>0</v>
      </c>
      <c r="AL49" s="179">
        <f t="shared" si="8"/>
        <v>0</v>
      </c>
      <c r="AM49" s="179">
        <f t="shared" si="8"/>
        <v>364029.5</v>
      </c>
      <c r="AN49" s="179">
        <f t="shared" si="8"/>
        <v>-499.99739203891636</v>
      </c>
      <c r="AO49" s="179">
        <f t="shared" si="8"/>
        <v>-14900</v>
      </c>
      <c r="AP49" s="179">
        <f t="shared" si="8"/>
        <v>425100</v>
      </c>
      <c r="AQ49" s="179">
        <f t="shared" si="8"/>
        <v>-500</v>
      </c>
      <c r="AR49" s="179">
        <f t="shared" si="8"/>
        <v>-500</v>
      </c>
      <c r="AS49" s="179">
        <f t="shared" si="8"/>
        <v>433425</v>
      </c>
      <c r="AT49" s="179">
        <f t="shared" si="8"/>
        <v>-500</v>
      </c>
      <c r="AU49" s="179">
        <f t="shared" si="8"/>
        <v>-1474867.4</v>
      </c>
    </row>
    <row r="50" spans="1:47" ht="12">
      <c r="A50" s="56"/>
      <c r="B50" s="57"/>
      <c r="C50" s="155"/>
      <c r="D50" s="147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</row>
    <row r="51" spans="1:47" ht="12">
      <c r="A51" s="58" t="s">
        <v>21</v>
      </c>
      <c r="B51" s="59"/>
      <c r="C51" s="156"/>
      <c r="D51" s="152"/>
      <c r="E51" s="156"/>
      <c r="F51" s="183">
        <f>E51+F49</f>
        <v>0</v>
      </c>
      <c r="G51" s="183">
        <f aca="true" t="shared" si="9" ref="G51:AU51">F51+G49</f>
        <v>0</v>
      </c>
      <c r="H51" s="183">
        <f t="shared" si="9"/>
        <v>0</v>
      </c>
      <c r="I51" s="183">
        <f t="shared" si="9"/>
        <v>0</v>
      </c>
      <c r="J51" s="183">
        <f t="shared" si="9"/>
        <v>50000</v>
      </c>
      <c r="K51" s="183">
        <f t="shared" si="9"/>
        <v>50000</v>
      </c>
      <c r="L51" s="183">
        <f t="shared" si="9"/>
        <v>0</v>
      </c>
      <c r="M51" s="183">
        <f t="shared" si="9"/>
        <v>0</v>
      </c>
      <c r="N51" s="183">
        <f t="shared" si="9"/>
        <v>0</v>
      </c>
      <c r="O51" s="183">
        <f t="shared" si="9"/>
        <v>0</v>
      </c>
      <c r="P51" s="183">
        <f t="shared" si="9"/>
        <v>0</v>
      </c>
      <c r="Q51" s="183">
        <f t="shared" si="9"/>
        <v>0</v>
      </c>
      <c r="R51" s="183">
        <f t="shared" si="9"/>
        <v>36000</v>
      </c>
      <c r="S51" s="183">
        <f t="shared" si="9"/>
        <v>36000</v>
      </c>
      <c r="T51" s="183">
        <f t="shared" si="9"/>
        <v>36000</v>
      </c>
      <c r="U51" s="183">
        <f t="shared" si="9"/>
        <v>72787.5</v>
      </c>
      <c r="V51" s="183">
        <f t="shared" si="9"/>
        <v>72787.5</v>
      </c>
      <c r="W51" s="183">
        <f t="shared" si="9"/>
        <v>72787.5</v>
      </c>
      <c r="X51" s="183">
        <f t="shared" si="9"/>
        <v>110362.5</v>
      </c>
      <c r="Y51" s="183">
        <f t="shared" si="9"/>
        <v>110362.5</v>
      </c>
      <c r="Z51" s="183">
        <f t="shared" si="9"/>
        <v>110362.5</v>
      </c>
      <c r="AA51" s="183">
        <f t="shared" si="9"/>
        <v>148725</v>
      </c>
      <c r="AB51" s="183">
        <f t="shared" si="9"/>
        <v>148725</v>
      </c>
      <c r="AC51" s="183">
        <f t="shared" si="9"/>
        <v>148725</v>
      </c>
      <c r="AD51" s="183">
        <f t="shared" si="9"/>
        <v>188055</v>
      </c>
      <c r="AE51" s="183">
        <f t="shared" si="9"/>
        <v>188055</v>
      </c>
      <c r="AF51" s="183">
        <f t="shared" si="9"/>
        <v>188055</v>
      </c>
      <c r="AG51" s="183">
        <f t="shared" si="9"/>
        <v>228217.5</v>
      </c>
      <c r="AH51" s="183">
        <f t="shared" si="9"/>
        <v>228217.5</v>
      </c>
      <c r="AI51" s="183">
        <f t="shared" si="9"/>
        <v>228217.5</v>
      </c>
      <c r="AJ51" s="183">
        <f t="shared" si="9"/>
        <v>269212.5</v>
      </c>
      <c r="AK51" s="183">
        <f t="shared" si="9"/>
        <v>269212.5</v>
      </c>
      <c r="AL51" s="183">
        <f t="shared" si="9"/>
        <v>269212.5</v>
      </c>
      <c r="AM51" s="183">
        <f t="shared" si="9"/>
        <v>633242</v>
      </c>
      <c r="AN51" s="183">
        <f t="shared" si="9"/>
        <v>632742.0026079611</v>
      </c>
      <c r="AO51" s="183">
        <f t="shared" si="9"/>
        <v>617842.0026079611</v>
      </c>
      <c r="AP51" s="183">
        <f t="shared" si="9"/>
        <v>1042942.0026079611</v>
      </c>
      <c r="AQ51" s="183">
        <f t="shared" si="9"/>
        <v>1042442.0026079611</v>
      </c>
      <c r="AR51" s="183">
        <f t="shared" si="9"/>
        <v>1041942.0026079611</v>
      </c>
      <c r="AS51" s="183">
        <f t="shared" si="9"/>
        <v>1475367.0026079612</v>
      </c>
      <c r="AT51" s="183">
        <f t="shared" si="9"/>
        <v>1474867.0026079612</v>
      </c>
      <c r="AU51" s="183">
        <f t="shared" si="9"/>
        <v>-0.39739203872159123</v>
      </c>
    </row>
    <row r="52" spans="1:47" ht="12">
      <c r="A52" s="17"/>
      <c r="B52" s="17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12">
      <c r="A53" s="12"/>
      <c r="B53" s="19"/>
      <c r="C53" s="157"/>
      <c r="D53" s="157"/>
      <c r="E53" s="157"/>
      <c r="F53" s="143"/>
      <c r="G53" s="158"/>
      <c r="H53" s="157"/>
      <c r="I53" s="157"/>
      <c r="J53" s="157"/>
      <c r="K53" s="157"/>
      <c r="L53" s="157"/>
      <c r="M53" s="143"/>
      <c r="N53" s="143"/>
      <c r="O53" s="143"/>
      <c r="P53" s="143"/>
      <c r="Q53" s="143"/>
      <c r="R53" s="143"/>
      <c r="S53" s="143"/>
      <c r="T53" s="143"/>
      <c r="U53" s="143"/>
      <c r="V53" s="137"/>
      <c r="W53" s="137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47" ht="12">
      <c r="A54" s="12" t="s">
        <v>36</v>
      </c>
      <c r="B54" s="19"/>
      <c r="C54" s="157"/>
      <c r="D54" s="157"/>
      <c r="E54" s="157"/>
      <c r="F54" s="159"/>
      <c r="G54" s="158"/>
      <c r="H54" s="157"/>
      <c r="I54" s="157"/>
      <c r="J54" s="157"/>
      <c r="K54" s="157"/>
      <c r="L54" s="157"/>
      <c r="M54" s="143"/>
      <c r="N54" s="143"/>
      <c r="O54" s="143"/>
      <c r="P54" s="143"/>
      <c r="Q54" s="143"/>
      <c r="R54" s="143"/>
      <c r="S54" s="143"/>
      <c r="T54" s="143"/>
      <c r="U54" s="143"/>
      <c r="V54" s="137"/>
      <c r="W54" s="137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</row>
    <row r="55" spans="1:47" ht="12">
      <c r="A55" s="88" t="s">
        <v>22</v>
      </c>
      <c r="B55" s="19"/>
      <c r="C55" s="157"/>
      <c r="D55" s="157"/>
      <c r="E55" s="157"/>
      <c r="F55" s="195" t="s">
        <v>25</v>
      </c>
      <c r="G55" s="180">
        <f>F57</f>
        <v>0</v>
      </c>
      <c r="H55" s="180">
        <f aca="true" t="shared" si="10" ref="H55:W55">G57</f>
        <v>0</v>
      </c>
      <c r="I55" s="180">
        <f t="shared" si="10"/>
        <v>0</v>
      </c>
      <c r="J55" s="180">
        <f t="shared" si="10"/>
        <v>0</v>
      </c>
      <c r="K55" s="180">
        <f t="shared" si="10"/>
        <v>50000</v>
      </c>
      <c r="L55" s="180">
        <f t="shared" si="10"/>
        <v>50000</v>
      </c>
      <c r="M55" s="180">
        <f t="shared" si="10"/>
        <v>0</v>
      </c>
      <c r="N55" s="180">
        <f t="shared" si="10"/>
        <v>0</v>
      </c>
      <c r="O55" s="180">
        <f t="shared" si="10"/>
        <v>0</v>
      </c>
      <c r="P55" s="180">
        <f t="shared" si="10"/>
        <v>0</v>
      </c>
      <c r="Q55" s="180">
        <f t="shared" si="10"/>
        <v>0</v>
      </c>
      <c r="R55" s="180">
        <f t="shared" si="10"/>
        <v>0</v>
      </c>
      <c r="S55" s="180">
        <f t="shared" si="10"/>
        <v>36000</v>
      </c>
      <c r="T55" s="180">
        <f t="shared" si="10"/>
        <v>36000</v>
      </c>
      <c r="U55" s="180">
        <f t="shared" si="10"/>
        <v>36000</v>
      </c>
      <c r="V55" s="180">
        <f t="shared" si="10"/>
        <v>72787.5</v>
      </c>
      <c r="W55" s="180">
        <f t="shared" si="10"/>
        <v>72787.5</v>
      </c>
      <c r="X55" s="180">
        <f>W57</f>
        <v>72787.5</v>
      </c>
      <c r="Y55" s="180">
        <f>X57</f>
        <v>110362.5</v>
      </c>
      <c r="Z55" s="180">
        <f>Y57</f>
        <v>110362.5</v>
      </c>
      <c r="AA55" s="180">
        <f aca="true" t="shared" si="11" ref="AA55:AF55">Z57</f>
        <v>110362.5</v>
      </c>
      <c r="AB55" s="180">
        <f t="shared" si="11"/>
        <v>148725</v>
      </c>
      <c r="AC55" s="180">
        <f t="shared" si="11"/>
        <v>148725</v>
      </c>
      <c r="AD55" s="180">
        <f t="shared" si="11"/>
        <v>148725</v>
      </c>
      <c r="AE55" s="180">
        <f t="shared" si="11"/>
        <v>188055</v>
      </c>
      <c r="AF55" s="180">
        <f t="shared" si="11"/>
        <v>188055</v>
      </c>
      <c r="AG55" s="180">
        <f aca="true" t="shared" si="12" ref="AG55:AL55">AF57</f>
        <v>188055</v>
      </c>
      <c r="AH55" s="180">
        <f t="shared" si="12"/>
        <v>228217.5</v>
      </c>
      <c r="AI55" s="180">
        <f t="shared" si="12"/>
        <v>228217.5</v>
      </c>
      <c r="AJ55" s="180">
        <f t="shared" si="12"/>
        <v>228217.5</v>
      </c>
      <c r="AK55" s="180">
        <f t="shared" si="12"/>
        <v>269212.5</v>
      </c>
      <c r="AL55" s="180">
        <f t="shared" si="12"/>
        <v>269212.5</v>
      </c>
      <c r="AM55" s="180">
        <f aca="true" t="shared" si="13" ref="AM55:AU55">AL57</f>
        <v>269212.5</v>
      </c>
      <c r="AN55" s="180">
        <f t="shared" si="13"/>
        <v>633242</v>
      </c>
      <c r="AO55" s="180">
        <f t="shared" si="13"/>
        <v>632742.0026079611</v>
      </c>
      <c r="AP55" s="180">
        <f t="shared" si="13"/>
        <v>617842.0026079611</v>
      </c>
      <c r="AQ55" s="180">
        <f t="shared" si="13"/>
        <v>1042942.0026079611</v>
      </c>
      <c r="AR55" s="180">
        <f t="shared" si="13"/>
        <v>1042442.0026079611</v>
      </c>
      <c r="AS55" s="180">
        <f t="shared" si="13"/>
        <v>1041942.0026079611</v>
      </c>
      <c r="AT55" s="180">
        <f t="shared" si="13"/>
        <v>1475367.0026079612</v>
      </c>
      <c r="AU55" s="180">
        <f t="shared" si="13"/>
        <v>1474867.0026079612</v>
      </c>
    </row>
    <row r="56" spans="1:47" ht="12">
      <c r="A56" s="88" t="s">
        <v>37</v>
      </c>
      <c r="B56" s="19"/>
      <c r="C56" s="157"/>
      <c r="D56" s="157"/>
      <c r="E56" s="157"/>
      <c r="F56" s="180">
        <f>F49</f>
        <v>0</v>
      </c>
      <c r="G56" s="180">
        <f>G49</f>
        <v>0</v>
      </c>
      <c r="H56" s="180">
        <f aca="true" t="shared" si="14" ref="H56:W56">H49</f>
        <v>0</v>
      </c>
      <c r="I56" s="180">
        <f t="shared" si="14"/>
        <v>0</v>
      </c>
      <c r="J56" s="180">
        <f t="shared" si="14"/>
        <v>50000</v>
      </c>
      <c r="K56" s="180">
        <f t="shared" si="14"/>
        <v>0</v>
      </c>
      <c r="L56" s="180">
        <f t="shared" si="14"/>
        <v>-50000</v>
      </c>
      <c r="M56" s="180">
        <f t="shared" si="14"/>
        <v>0</v>
      </c>
      <c r="N56" s="180">
        <f t="shared" si="14"/>
        <v>0</v>
      </c>
      <c r="O56" s="180">
        <f t="shared" si="14"/>
        <v>0</v>
      </c>
      <c r="P56" s="180">
        <f t="shared" si="14"/>
        <v>0</v>
      </c>
      <c r="Q56" s="180">
        <f t="shared" si="14"/>
        <v>0</v>
      </c>
      <c r="R56" s="180">
        <f t="shared" si="14"/>
        <v>36000</v>
      </c>
      <c r="S56" s="180">
        <f t="shared" si="14"/>
        <v>0</v>
      </c>
      <c r="T56" s="180">
        <f t="shared" si="14"/>
        <v>0</v>
      </c>
      <c r="U56" s="180">
        <f t="shared" si="14"/>
        <v>36787.5</v>
      </c>
      <c r="V56" s="180">
        <f t="shared" si="14"/>
        <v>0</v>
      </c>
      <c r="W56" s="180">
        <f t="shared" si="14"/>
        <v>0</v>
      </c>
      <c r="X56" s="180">
        <f>X49</f>
        <v>37575</v>
      </c>
      <c r="Y56" s="180">
        <f>Y49</f>
        <v>0</v>
      </c>
      <c r="Z56" s="180">
        <f>Z49</f>
        <v>0</v>
      </c>
      <c r="AA56" s="180">
        <f aca="true" t="shared" si="15" ref="AA56:AF56">AA49</f>
        <v>38362.5</v>
      </c>
      <c r="AB56" s="180">
        <f t="shared" si="15"/>
        <v>0</v>
      </c>
      <c r="AC56" s="180">
        <f t="shared" si="15"/>
        <v>0</v>
      </c>
      <c r="AD56" s="180">
        <f t="shared" si="15"/>
        <v>39330</v>
      </c>
      <c r="AE56" s="180">
        <f t="shared" si="15"/>
        <v>0</v>
      </c>
      <c r="AF56" s="180">
        <f t="shared" si="15"/>
        <v>0</v>
      </c>
      <c r="AG56" s="180">
        <f aca="true" t="shared" si="16" ref="AG56:AL56">AG49</f>
        <v>40162.5</v>
      </c>
      <c r="AH56" s="180">
        <f t="shared" si="16"/>
        <v>0</v>
      </c>
      <c r="AI56" s="180">
        <f t="shared" si="16"/>
        <v>0</v>
      </c>
      <c r="AJ56" s="180">
        <f t="shared" si="16"/>
        <v>40995</v>
      </c>
      <c r="AK56" s="180">
        <f t="shared" si="16"/>
        <v>0</v>
      </c>
      <c r="AL56" s="180">
        <f t="shared" si="16"/>
        <v>0</v>
      </c>
      <c r="AM56" s="180">
        <f aca="true" t="shared" si="17" ref="AM56:AU56">AM49</f>
        <v>364029.5</v>
      </c>
      <c r="AN56" s="180">
        <f t="shared" si="17"/>
        <v>-499.99739203891636</v>
      </c>
      <c r="AO56" s="180">
        <f t="shared" si="17"/>
        <v>-14900</v>
      </c>
      <c r="AP56" s="180">
        <f t="shared" si="17"/>
        <v>425100</v>
      </c>
      <c r="AQ56" s="180">
        <f t="shared" si="17"/>
        <v>-500</v>
      </c>
      <c r="AR56" s="180">
        <f t="shared" si="17"/>
        <v>-500</v>
      </c>
      <c r="AS56" s="180">
        <f t="shared" si="17"/>
        <v>433425</v>
      </c>
      <c r="AT56" s="180">
        <f t="shared" si="17"/>
        <v>-500</v>
      </c>
      <c r="AU56" s="180">
        <f t="shared" si="17"/>
        <v>-1474867.4</v>
      </c>
    </row>
    <row r="57" spans="1:47" ht="12">
      <c r="A57" s="88" t="s">
        <v>23</v>
      </c>
      <c r="B57" s="19"/>
      <c r="C57" s="157"/>
      <c r="D57" s="157"/>
      <c r="E57" s="157"/>
      <c r="F57" s="182">
        <f>SUM(F56)</f>
        <v>0</v>
      </c>
      <c r="G57" s="182">
        <f>SUM(G55:G56)</f>
        <v>0</v>
      </c>
      <c r="H57" s="182">
        <f aca="true" t="shared" si="18" ref="H57:W57">SUM(H55:H56)</f>
        <v>0</v>
      </c>
      <c r="I57" s="182">
        <f t="shared" si="18"/>
        <v>0</v>
      </c>
      <c r="J57" s="182">
        <f t="shared" si="18"/>
        <v>50000</v>
      </c>
      <c r="K57" s="182">
        <f t="shared" si="18"/>
        <v>50000</v>
      </c>
      <c r="L57" s="182">
        <f t="shared" si="18"/>
        <v>0</v>
      </c>
      <c r="M57" s="182">
        <f>SUM(M55:M56)</f>
        <v>0</v>
      </c>
      <c r="N57" s="182">
        <f>SUM(N55:N56)</f>
        <v>0</v>
      </c>
      <c r="O57" s="182">
        <f t="shared" si="18"/>
        <v>0</v>
      </c>
      <c r="P57" s="182">
        <f t="shared" si="18"/>
        <v>0</v>
      </c>
      <c r="Q57" s="182">
        <f t="shared" si="18"/>
        <v>0</v>
      </c>
      <c r="R57" s="182">
        <f t="shared" si="18"/>
        <v>36000</v>
      </c>
      <c r="S57" s="182">
        <f t="shared" si="18"/>
        <v>36000</v>
      </c>
      <c r="T57" s="182">
        <f t="shared" si="18"/>
        <v>36000</v>
      </c>
      <c r="U57" s="182">
        <f t="shared" si="18"/>
        <v>72787.5</v>
      </c>
      <c r="V57" s="182">
        <f t="shared" si="18"/>
        <v>72787.5</v>
      </c>
      <c r="W57" s="182">
        <f t="shared" si="18"/>
        <v>72787.5</v>
      </c>
      <c r="X57" s="182">
        <f>SUM(X55:X56)</f>
        <v>110362.5</v>
      </c>
      <c r="Y57" s="182">
        <f>SUM(Y55:Y56)</f>
        <v>110362.5</v>
      </c>
      <c r="Z57" s="182">
        <f>SUM(Z55:Z56)</f>
        <v>110362.5</v>
      </c>
      <c r="AA57" s="182">
        <f aca="true" t="shared" si="19" ref="AA57:AF57">SUM(AA55:AA56)</f>
        <v>148725</v>
      </c>
      <c r="AB57" s="182">
        <f t="shared" si="19"/>
        <v>148725</v>
      </c>
      <c r="AC57" s="182">
        <f t="shared" si="19"/>
        <v>148725</v>
      </c>
      <c r="AD57" s="182">
        <f t="shared" si="19"/>
        <v>188055</v>
      </c>
      <c r="AE57" s="182">
        <f t="shared" si="19"/>
        <v>188055</v>
      </c>
      <c r="AF57" s="182">
        <f t="shared" si="19"/>
        <v>188055</v>
      </c>
      <c r="AG57" s="182">
        <f aca="true" t="shared" si="20" ref="AG57:AL57">SUM(AG55:AG56)</f>
        <v>228217.5</v>
      </c>
      <c r="AH57" s="182">
        <f t="shared" si="20"/>
        <v>228217.5</v>
      </c>
      <c r="AI57" s="182">
        <f t="shared" si="20"/>
        <v>228217.5</v>
      </c>
      <c r="AJ57" s="182">
        <f t="shared" si="20"/>
        <v>269212.5</v>
      </c>
      <c r="AK57" s="182">
        <f t="shared" si="20"/>
        <v>269212.5</v>
      </c>
      <c r="AL57" s="182">
        <f t="shared" si="20"/>
        <v>269212.5</v>
      </c>
      <c r="AM57" s="182">
        <f aca="true" t="shared" si="21" ref="AM57:AU57">SUM(AM55:AM56)</f>
        <v>633242</v>
      </c>
      <c r="AN57" s="182">
        <f t="shared" si="21"/>
        <v>632742.0026079611</v>
      </c>
      <c r="AO57" s="182">
        <f t="shared" si="21"/>
        <v>617842.0026079611</v>
      </c>
      <c r="AP57" s="182">
        <f t="shared" si="21"/>
        <v>1042942.0026079611</v>
      </c>
      <c r="AQ57" s="182">
        <f t="shared" si="21"/>
        <v>1042442.0026079611</v>
      </c>
      <c r="AR57" s="182">
        <f t="shared" si="21"/>
        <v>1041942.0026079611</v>
      </c>
      <c r="AS57" s="182">
        <f t="shared" si="21"/>
        <v>1475367.0026079612</v>
      </c>
      <c r="AT57" s="182">
        <f t="shared" si="21"/>
        <v>1474867.0026079612</v>
      </c>
      <c r="AU57" s="182">
        <f t="shared" si="21"/>
        <v>-0.39739203872159123</v>
      </c>
    </row>
    <row r="58" spans="1:47" ht="12">
      <c r="A58" s="12"/>
      <c r="B58" s="19"/>
      <c r="C58" s="157"/>
      <c r="D58" s="157"/>
      <c r="E58" s="157"/>
      <c r="F58" s="143"/>
      <c r="G58" s="158"/>
      <c r="H58" s="157"/>
      <c r="I58" s="157"/>
      <c r="J58" s="157"/>
      <c r="K58" s="157"/>
      <c r="L58" s="157"/>
      <c r="M58" s="143"/>
      <c r="N58" s="143"/>
      <c r="O58" s="143"/>
      <c r="P58" s="143"/>
      <c r="Q58" s="143"/>
      <c r="R58" s="143"/>
      <c r="S58" s="143"/>
      <c r="T58" s="143"/>
      <c r="U58" s="143"/>
      <c r="V58" s="137"/>
      <c r="W58" s="137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</row>
    <row r="59" spans="1:47" ht="12">
      <c r="A59" s="12" t="s">
        <v>64</v>
      </c>
      <c r="B59" s="19"/>
      <c r="C59" s="157"/>
      <c r="D59" s="157"/>
      <c r="E59" s="157"/>
      <c r="F59" s="143"/>
      <c r="G59" s="158"/>
      <c r="H59" s="157"/>
      <c r="I59" s="157"/>
      <c r="J59" s="157"/>
      <c r="K59" s="157"/>
      <c r="L59" s="157"/>
      <c r="M59" s="143"/>
      <c r="N59" s="143"/>
      <c r="O59" s="143"/>
      <c r="P59" s="143"/>
      <c r="Q59" s="143"/>
      <c r="R59" s="143"/>
      <c r="S59" s="143"/>
      <c r="T59" s="143"/>
      <c r="U59" s="143"/>
      <c r="V59" s="137"/>
      <c r="W59" s="137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</row>
    <row r="60" spans="1:47" ht="12">
      <c r="A60" s="88" t="s">
        <v>22</v>
      </c>
      <c r="B60" s="19"/>
      <c r="C60" s="157"/>
      <c r="D60" s="157"/>
      <c r="E60" s="157"/>
      <c r="F60" s="195" t="s">
        <v>25</v>
      </c>
      <c r="G60" s="180">
        <f aca="true" t="shared" si="22" ref="G60:AU60">F63</f>
        <v>0</v>
      </c>
      <c r="H60" s="180">
        <f t="shared" si="22"/>
        <v>0</v>
      </c>
      <c r="I60" s="180">
        <f t="shared" si="22"/>
        <v>0</v>
      </c>
      <c r="J60" s="180">
        <f t="shared" si="22"/>
        <v>0</v>
      </c>
      <c r="K60" s="180">
        <f t="shared" si="22"/>
        <v>50000</v>
      </c>
      <c r="L60" s="180">
        <f t="shared" si="22"/>
        <v>50000</v>
      </c>
      <c r="M60" s="180">
        <f t="shared" si="22"/>
        <v>636889.3999999999</v>
      </c>
      <c r="N60" s="180">
        <f t="shared" si="22"/>
        <v>636889.3999999999</v>
      </c>
      <c r="O60" s="180">
        <f t="shared" si="22"/>
        <v>636889.3999999999</v>
      </c>
      <c r="P60" s="180">
        <f t="shared" si="22"/>
        <v>636889.3999999999</v>
      </c>
      <c r="Q60" s="180">
        <f t="shared" si="22"/>
        <v>636889.3999999999</v>
      </c>
      <c r="R60" s="180">
        <f t="shared" si="22"/>
        <v>636889.3999999999</v>
      </c>
      <c r="S60" s="180">
        <f t="shared" si="22"/>
        <v>636889.3999999999</v>
      </c>
      <c r="T60" s="180">
        <f t="shared" si="22"/>
        <v>636889.3999999999</v>
      </c>
      <c r="U60" s="180">
        <f t="shared" si="22"/>
        <v>636889.3999999999</v>
      </c>
      <c r="V60" s="180">
        <f t="shared" si="22"/>
        <v>636889.3999999999</v>
      </c>
      <c r="W60" s="180">
        <f t="shared" si="22"/>
        <v>636889.3999999999</v>
      </c>
      <c r="X60" s="180">
        <f t="shared" si="22"/>
        <v>636889.3999999999</v>
      </c>
      <c r="Y60" s="180">
        <f t="shared" si="22"/>
        <v>636889.3999999999</v>
      </c>
      <c r="Z60" s="180">
        <f t="shared" si="22"/>
        <v>636889.3999999999</v>
      </c>
      <c r="AA60" s="180">
        <f t="shared" si="22"/>
        <v>636889.3999999999</v>
      </c>
      <c r="AB60" s="180">
        <f t="shared" si="22"/>
        <v>636889.3999999999</v>
      </c>
      <c r="AC60" s="180">
        <f t="shared" si="22"/>
        <v>636889.3999999999</v>
      </c>
      <c r="AD60" s="180">
        <f t="shared" si="22"/>
        <v>636889.3999999999</v>
      </c>
      <c r="AE60" s="180">
        <f t="shared" si="22"/>
        <v>636889.3999999999</v>
      </c>
      <c r="AF60" s="180">
        <f t="shared" si="22"/>
        <v>636889.3999999999</v>
      </c>
      <c r="AG60" s="180">
        <f t="shared" si="22"/>
        <v>636889.3999999999</v>
      </c>
      <c r="AH60" s="180">
        <f t="shared" si="22"/>
        <v>636889.3999999999</v>
      </c>
      <c r="AI60" s="180">
        <f t="shared" si="22"/>
        <v>636889.3999999999</v>
      </c>
      <c r="AJ60" s="180">
        <f t="shared" si="22"/>
        <v>636889.3999999999</v>
      </c>
      <c r="AK60" s="180">
        <f t="shared" si="22"/>
        <v>636889.3999999999</v>
      </c>
      <c r="AL60" s="180">
        <f t="shared" si="22"/>
        <v>636889.3999999999</v>
      </c>
      <c r="AM60" s="180">
        <f t="shared" si="22"/>
        <v>636889.3999999999</v>
      </c>
      <c r="AN60" s="180">
        <f t="shared" si="22"/>
        <v>636889.3999999999</v>
      </c>
      <c r="AO60" s="180">
        <f t="shared" si="22"/>
        <v>636889.3999999999</v>
      </c>
      <c r="AP60" s="180">
        <f t="shared" si="22"/>
        <v>636889.3999999999</v>
      </c>
      <c r="AQ60" s="180">
        <f t="shared" si="22"/>
        <v>636889.3999999999</v>
      </c>
      <c r="AR60" s="180">
        <f t="shared" si="22"/>
        <v>636889.3999999999</v>
      </c>
      <c r="AS60" s="180">
        <f t="shared" si="22"/>
        <v>636889.3999999999</v>
      </c>
      <c r="AT60" s="180">
        <f t="shared" si="22"/>
        <v>636889.3999999999</v>
      </c>
      <c r="AU60" s="180">
        <f t="shared" si="22"/>
        <v>636889.3999999999</v>
      </c>
    </row>
    <row r="61" spans="1:47" ht="12">
      <c r="A61" s="88" t="s">
        <v>38</v>
      </c>
      <c r="B61" s="19"/>
      <c r="C61" s="157"/>
      <c r="D61" s="157"/>
      <c r="E61" s="157"/>
      <c r="F61" s="180">
        <f aca="true" t="shared" si="23" ref="F61:AU61">F7+F8</f>
        <v>0</v>
      </c>
      <c r="G61" s="180">
        <f t="shared" si="23"/>
        <v>0</v>
      </c>
      <c r="H61" s="180">
        <f t="shared" si="23"/>
        <v>0</v>
      </c>
      <c r="I61" s="180">
        <f t="shared" si="23"/>
        <v>0</v>
      </c>
      <c r="J61" s="180">
        <f t="shared" si="23"/>
        <v>50000</v>
      </c>
      <c r="K61" s="180">
        <f t="shared" si="23"/>
        <v>0</v>
      </c>
      <c r="L61" s="180">
        <f t="shared" si="23"/>
        <v>586889.3999999999</v>
      </c>
      <c r="M61" s="180">
        <f t="shared" si="23"/>
        <v>0</v>
      </c>
      <c r="N61" s="180">
        <f t="shared" si="23"/>
        <v>0</v>
      </c>
      <c r="O61" s="180">
        <f t="shared" si="23"/>
        <v>0</v>
      </c>
      <c r="P61" s="180">
        <f t="shared" si="23"/>
        <v>0</v>
      </c>
      <c r="Q61" s="180">
        <f t="shared" si="23"/>
        <v>0</v>
      </c>
      <c r="R61" s="180">
        <f t="shared" si="23"/>
        <v>0</v>
      </c>
      <c r="S61" s="180">
        <f t="shared" si="23"/>
        <v>0</v>
      </c>
      <c r="T61" s="180">
        <f t="shared" si="23"/>
        <v>0</v>
      </c>
      <c r="U61" s="180">
        <f t="shared" si="23"/>
        <v>0</v>
      </c>
      <c r="V61" s="180">
        <f t="shared" si="23"/>
        <v>0</v>
      </c>
      <c r="W61" s="180">
        <f t="shared" si="23"/>
        <v>0</v>
      </c>
      <c r="X61" s="180">
        <f t="shared" si="23"/>
        <v>0</v>
      </c>
      <c r="Y61" s="180">
        <f t="shared" si="23"/>
        <v>0</v>
      </c>
      <c r="Z61" s="180">
        <f t="shared" si="23"/>
        <v>0</v>
      </c>
      <c r="AA61" s="180">
        <f t="shared" si="23"/>
        <v>0</v>
      </c>
      <c r="AB61" s="180">
        <f t="shared" si="23"/>
        <v>0</v>
      </c>
      <c r="AC61" s="180">
        <f t="shared" si="23"/>
        <v>0</v>
      </c>
      <c r="AD61" s="180">
        <f t="shared" si="23"/>
        <v>0</v>
      </c>
      <c r="AE61" s="180">
        <f t="shared" si="23"/>
        <v>0</v>
      </c>
      <c r="AF61" s="180">
        <f t="shared" si="23"/>
        <v>0</v>
      </c>
      <c r="AG61" s="180">
        <f t="shared" si="23"/>
        <v>0</v>
      </c>
      <c r="AH61" s="180">
        <f t="shared" si="23"/>
        <v>0</v>
      </c>
      <c r="AI61" s="180">
        <f t="shared" si="23"/>
        <v>0</v>
      </c>
      <c r="AJ61" s="180">
        <f t="shared" si="23"/>
        <v>0</v>
      </c>
      <c r="AK61" s="180">
        <f t="shared" si="23"/>
        <v>0</v>
      </c>
      <c r="AL61" s="180">
        <f t="shared" si="23"/>
        <v>0</v>
      </c>
      <c r="AM61" s="180">
        <f t="shared" si="23"/>
        <v>0</v>
      </c>
      <c r="AN61" s="180">
        <f t="shared" si="23"/>
        <v>0</v>
      </c>
      <c r="AO61" s="180">
        <f t="shared" si="23"/>
        <v>0</v>
      </c>
      <c r="AP61" s="180">
        <f t="shared" si="23"/>
        <v>0</v>
      </c>
      <c r="AQ61" s="180">
        <f t="shared" si="23"/>
        <v>0</v>
      </c>
      <c r="AR61" s="180">
        <f t="shared" si="23"/>
        <v>0</v>
      </c>
      <c r="AS61" s="180">
        <f t="shared" si="23"/>
        <v>0</v>
      </c>
      <c r="AT61" s="180">
        <f t="shared" si="23"/>
        <v>0</v>
      </c>
      <c r="AU61" s="180">
        <f t="shared" si="23"/>
        <v>0</v>
      </c>
    </row>
    <row r="62" spans="1:47" ht="12">
      <c r="A62" s="88" t="s">
        <v>34</v>
      </c>
      <c r="B62" s="19"/>
      <c r="C62" s="157"/>
      <c r="D62" s="157"/>
      <c r="E62" s="157"/>
      <c r="F62" s="180">
        <f>F38</f>
        <v>0</v>
      </c>
      <c r="G62" s="180">
        <f>G38</f>
        <v>0</v>
      </c>
      <c r="H62" s="180">
        <f aca="true" t="shared" si="24" ref="H62:AU62">H38</f>
        <v>0</v>
      </c>
      <c r="I62" s="180">
        <f t="shared" si="24"/>
        <v>0</v>
      </c>
      <c r="J62" s="180">
        <f t="shared" si="24"/>
        <v>0</v>
      </c>
      <c r="K62" s="180">
        <f t="shared" si="24"/>
        <v>0</v>
      </c>
      <c r="L62" s="180">
        <f t="shared" si="24"/>
        <v>0</v>
      </c>
      <c r="M62" s="180">
        <f t="shared" si="24"/>
        <v>0</v>
      </c>
      <c r="N62" s="180">
        <f t="shared" si="24"/>
        <v>0</v>
      </c>
      <c r="O62" s="180">
        <f t="shared" si="24"/>
        <v>0</v>
      </c>
      <c r="P62" s="180">
        <f t="shared" si="24"/>
        <v>0</v>
      </c>
      <c r="Q62" s="180">
        <f t="shared" si="24"/>
        <v>0</v>
      </c>
      <c r="R62" s="180">
        <f t="shared" si="24"/>
        <v>0</v>
      </c>
      <c r="S62" s="180">
        <f t="shared" si="24"/>
        <v>0</v>
      </c>
      <c r="T62" s="180">
        <f t="shared" si="24"/>
        <v>0</v>
      </c>
      <c r="U62" s="180">
        <f t="shared" si="24"/>
        <v>0</v>
      </c>
      <c r="V62" s="180">
        <f t="shared" si="24"/>
        <v>0</v>
      </c>
      <c r="W62" s="180">
        <f t="shared" si="24"/>
        <v>0</v>
      </c>
      <c r="X62" s="180">
        <f t="shared" si="24"/>
        <v>0</v>
      </c>
      <c r="Y62" s="180">
        <f t="shared" si="24"/>
        <v>0</v>
      </c>
      <c r="Z62" s="180">
        <f t="shared" si="24"/>
        <v>0</v>
      </c>
      <c r="AA62" s="180">
        <f t="shared" si="24"/>
        <v>0</v>
      </c>
      <c r="AB62" s="180">
        <f t="shared" si="24"/>
        <v>0</v>
      </c>
      <c r="AC62" s="180">
        <f t="shared" si="24"/>
        <v>0</v>
      </c>
      <c r="AD62" s="180">
        <f t="shared" si="24"/>
        <v>0</v>
      </c>
      <c r="AE62" s="180">
        <f t="shared" si="24"/>
        <v>0</v>
      </c>
      <c r="AF62" s="180">
        <f t="shared" si="24"/>
        <v>0</v>
      </c>
      <c r="AG62" s="180">
        <f t="shared" si="24"/>
        <v>0</v>
      </c>
      <c r="AH62" s="180">
        <f t="shared" si="24"/>
        <v>0</v>
      </c>
      <c r="AI62" s="180">
        <f t="shared" si="24"/>
        <v>0</v>
      </c>
      <c r="AJ62" s="180">
        <f t="shared" si="24"/>
        <v>0</v>
      </c>
      <c r="AK62" s="180">
        <f t="shared" si="24"/>
        <v>0</v>
      </c>
      <c r="AL62" s="180">
        <f t="shared" si="24"/>
        <v>0</v>
      </c>
      <c r="AM62" s="180">
        <f t="shared" si="24"/>
        <v>0</v>
      </c>
      <c r="AN62" s="180">
        <f t="shared" si="24"/>
        <v>0</v>
      </c>
      <c r="AO62" s="180">
        <f t="shared" si="24"/>
        <v>0</v>
      </c>
      <c r="AP62" s="180">
        <f t="shared" si="24"/>
        <v>0</v>
      </c>
      <c r="AQ62" s="180">
        <f t="shared" si="24"/>
        <v>0</v>
      </c>
      <c r="AR62" s="180">
        <f t="shared" si="24"/>
        <v>0</v>
      </c>
      <c r="AS62" s="180">
        <f t="shared" si="24"/>
        <v>0</v>
      </c>
      <c r="AT62" s="180">
        <f t="shared" si="24"/>
        <v>0</v>
      </c>
      <c r="AU62" s="180">
        <f t="shared" si="24"/>
        <v>-636889.3999999999</v>
      </c>
    </row>
    <row r="63" spans="1:47" ht="12">
      <c r="A63" s="88" t="s">
        <v>23</v>
      </c>
      <c r="B63" s="19"/>
      <c r="C63" s="157"/>
      <c r="D63" s="157"/>
      <c r="E63" s="157"/>
      <c r="F63" s="182">
        <f>SUM(F61:F62)</f>
        <v>0</v>
      </c>
      <c r="G63" s="182">
        <f aca="true" t="shared" si="25" ref="G63:W63">SUM(G60:G62)</f>
        <v>0</v>
      </c>
      <c r="H63" s="182">
        <f t="shared" si="25"/>
        <v>0</v>
      </c>
      <c r="I63" s="182">
        <f t="shared" si="25"/>
        <v>0</v>
      </c>
      <c r="J63" s="182">
        <f t="shared" si="25"/>
        <v>50000</v>
      </c>
      <c r="K63" s="182">
        <f t="shared" si="25"/>
        <v>50000</v>
      </c>
      <c r="L63" s="182">
        <f t="shared" si="25"/>
        <v>636889.3999999999</v>
      </c>
      <c r="M63" s="182">
        <f t="shared" si="25"/>
        <v>636889.3999999999</v>
      </c>
      <c r="N63" s="182">
        <f t="shared" si="25"/>
        <v>636889.3999999999</v>
      </c>
      <c r="O63" s="182">
        <f t="shared" si="25"/>
        <v>636889.3999999999</v>
      </c>
      <c r="P63" s="182">
        <f t="shared" si="25"/>
        <v>636889.3999999999</v>
      </c>
      <c r="Q63" s="182">
        <f t="shared" si="25"/>
        <v>636889.3999999999</v>
      </c>
      <c r="R63" s="182">
        <f t="shared" si="25"/>
        <v>636889.3999999999</v>
      </c>
      <c r="S63" s="182">
        <f t="shared" si="25"/>
        <v>636889.3999999999</v>
      </c>
      <c r="T63" s="182">
        <f t="shared" si="25"/>
        <v>636889.3999999999</v>
      </c>
      <c r="U63" s="182">
        <f t="shared" si="25"/>
        <v>636889.3999999999</v>
      </c>
      <c r="V63" s="182">
        <f t="shared" si="25"/>
        <v>636889.3999999999</v>
      </c>
      <c r="W63" s="182">
        <f t="shared" si="25"/>
        <v>636889.3999999999</v>
      </c>
      <c r="X63" s="182">
        <f>SUM(X60:X62)</f>
        <v>636889.3999999999</v>
      </c>
      <c r="Y63" s="182">
        <f>SUM(Y60:Y62)</f>
        <v>636889.3999999999</v>
      </c>
      <c r="Z63" s="182">
        <f>SUM(Z60:Z62)</f>
        <v>636889.3999999999</v>
      </c>
      <c r="AA63" s="182">
        <f aca="true" t="shared" si="26" ref="AA63:AF63">SUM(AA60:AA62)</f>
        <v>636889.3999999999</v>
      </c>
      <c r="AB63" s="182">
        <f t="shared" si="26"/>
        <v>636889.3999999999</v>
      </c>
      <c r="AC63" s="182">
        <f t="shared" si="26"/>
        <v>636889.3999999999</v>
      </c>
      <c r="AD63" s="182">
        <f t="shared" si="26"/>
        <v>636889.3999999999</v>
      </c>
      <c r="AE63" s="182">
        <f t="shared" si="26"/>
        <v>636889.3999999999</v>
      </c>
      <c r="AF63" s="182">
        <f t="shared" si="26"/>
        <v>636889.3999999999</v>
      </c>
      <c r="AG63" s="182">
        <f aca="true" t="shared" si="27" ref="AG63:AL63">SUM(AG60:AG62)</f>
        <v>636889.3999999999</v>
      </c>
      <c r="AH63" s="182">
        <f t="shared" si="27"/>
        <v>636889.3999999999</v>
      </c>
      <c r="AI63" s="182">
        <f t="shared" si="27"/>
        <v>636889.3999999999</v>
      </c>
      <c r="AJ63" s="182">
        <f t="shared" si="27"/>
        <v>636889.3999999999</v>
      </c>
      <c r="AK63" s="182">
        <f t="shared" si="27"/>
        <v>636889.3999999999</v>
      </c>
      <c r="AL63" s="182">
        <f t="shared" si="27"/>
        <v>636889.3999999999</v>
      </c>
      <c r="AM63" s="182">
        <f aca="true" t="shared" si="28" ref="AM63:AU63">SUM(AM60:AM62)</f>
        <v>636889.3999999999</v>
      </c>
      <c r="AN63" s="182">
        <f t="shared" si="28"/>
        <v>636889.3999999999</v>
      </c>
      <c r="AO63" s="182">
        <f t="shared" si="28"/>
        <v>636889.3999999999</v>
      </c>
      <c r="AP63" s="182">
        <f t="shared" si="28"/>
        <v>636889.3999999999</v>
      </c>
      <c r="AQ63" s="182">
        <f t="shared" si="28"/>
        <v>636889.3999999999</v>
      </c>
      <c r="AR63" s="182">
        <f t="shared" si="28"/>
        <v>636889.3999999999</v>
      </c>
      <c r="AS63" s="182">
        <f t="shared" si="28"/>
        <v>636889.3999999999</v>
      </c>
      <c r="AT63" s="182">
        <f t="shared" si="28"/>
        <v>636889.3999999999</v>
      </c>
      <c r="AU63" s="182">
        <f t="shared" si="28"/>
        <v>0</v>
      </c>
    </row>
    <row r="64" spans="1:47" ht="12">
      <c r="A64" s="12"/>
      <c r="B64" s="19"/>
      <c r="C64" s="157"/>
      <c r="D64" s="157"/>
      <c r="E64" s="157"/>
      <c r="F64" s="143"/>
      <c r="G64" s="158"/>
      <c r="H64" s="157"/>
      <c r="I64" s="157"/>
      <c r="J64" s="157"/>
      <c r="K64" s="157"/>
      <c r="L64" s="157"/>
      <c r="M64" s="143"/>
      <c r="N64" s="143"/>
      <c r="O64" s="143"/>
      <c r="P64" s="143"/>
      <c r="Q64" s="143"/>
      <c r="R64" s="143"/>
      <c r="S64" s="143"/>
      <c r="T64" s="143"/>
      <c r="U64" s="143"/>
      <c r="V64" s="137"/>
      <c r="W64" s="137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</row>
    <row r="65" spans="1:47" ht="12.75" thickBot="1">
      <c r="A65" s="12" t="s">
        <v>65</v>
      </c>
      <c r="B65" s="19"/>
      <c r="C65" s="157"/>
      <c r="D65" s="157"/>
      <c r="E65" s="157"/>
      <c r="F65" s="196">
        <f aca="true" t="shared" si="29" ref="F65:AL65">-F61-F62-F39</f>
        <v>0</v>
      </c>
      <c r="G65" s="196">
        <f t="shared" si="29"/>
        <v>0</v>
      </c>
      <c r="H65" s="196">
        <f t="shared" si="29"/>
        <v>0</v>
      </c>
      <c r="I65" s="196">
        <f t="shared" si="29"/>
        <v>0</v>
      </c>
      <c r="J65" s="196">
        <f t="shared" si="29"/>
        <v>-50000</v>
      </c>
      <c r="K65" s="196">
        <f t="shared" si="29"/>
        <v>0</v>
      </c>
      <c r="L65" s="196">
        <f t="shared" si="29"/>
        <v>-586889.3999999999</v>
      </c>
      <c r="M65" s="196">
        <f t="shared" si="29"/>
        <v>0</v>
      </c>
      <c r="N65" s="196">
        <f t="shared" si="29"/>
        <v>0</v>
      </c>
      <c r="O65" s="196">
        <f t="shared" si="29"/>
        <v>0</v>
      </c>
      <c r="P65" s="196">
        <f t="shared" si="29"/>
        <v>0</v>
      </c>
      <c r="Q65" s="196">
        <f t="shared" si="29"/>
        <v>0</v>
      </c>
      <c r="R65" s="196">
        <f t="shared" si="29"/>
        <v>0</v>
      </c>
      <c r="S65" s="196">
        <f t="shared" si="29"/>
        <v>0</v>
      </c>
      <c r="T65" s="196">
        <f t="shared" si="29"/>
        <v>0</v>
      </c>
      <c r="U65" s="196">
        <f t="shared" si="29"/>
        <v>0</v>
      </c>
      <c r="V65" s="196">
        <f t="shared" si="29"/>
        <v>0</v>
      </c>
      <c r="W65" s="196">
        <f t="shared" si="29"/>
        <v>0</v>
      </c>
      <c r="X65" s="196">
        <f t="shared" si="29"/>
        <v>0</v>
      </c>
      <c r="Y65" s="196">
        <f t="shared" si="29"/>
        <v>0</v>
      </c>
      <c r="Z65" s="196">
        <f t="shared" si="29"/>
        <v>0</v>
      </c>
      <c r="AA65" s="196">
        <f t="shared" si="29"/>
        <v>0</v>
      </c>
      <c r="AB65" s="196">
        <f t="shared" si="29"/>
        <v>0</v>
      </c>
      <c r="AC65" s="196">
        <f t="shared" si="29"/>
        <v>0</v>
      </c>
      <c r="AD65" s="196">
        <f t="shared" si="29"/>
        <v>0</v>
      </c>
      <c r="AE65" s="196">
        <f t="shared" si="29"/>
        <v>0</v>
      </c>
      <c r="AF65" s="196">
        <f t="shared" si="29"/>
        <v>0</v>
      </c>
      <c r="AG65" s="196">
        <f t="shared" si="29"/>
        <v>0</v>
      </c>
      <c r="AH65" s="196">
        <f t="shared" si="29"/>
        <v>0</v>
      </c>
      <c r="AI65" s="196">
        <f t="shared" si="29"/>
        <v>0</v>
      </c>
      <c r="AJ65" s="196">
        <f t="shared" si="29"/>
        <v>0</v>
      </c>
      <c r="AK65" s="196">
        <f t="shared" si="29"/>
        <v>0</v>
      </c>
      <c r="AL65" s="196">
        <f t="shared" si="29"/>
        <v>0</v>
      </c>
      <c r="AM65" s="196">
        <f aca="true" t="shared" si="30" ref="AM65:AU65">-AM61-AM62-AM39</f>
        <v>0</v>
      </c>
      <c r="AN65" s="196">
        <f t="shared" si="30"/>
        <v>0</v>
      </c>
      <c r="AO65" s="196">
        <f t="shared" si="30"/>
        <v>0</v>
      </c>
      <c r="AP65" s="196">
        <f t="shared" si="30"/>
        <v>0</v>
      </c>
      <c r="AQ65" s="196">
        <f t="shared" si="30"/>
        <v>0</v>
      </c>
      <c r="AR65" s="196">
        <f t="shared" si="30"/>
        <v>0</v>
      </c>
      <c r="AS65" s="196">
        <f t="shared" si="30"/>
        <v>0</v>
      </c>
      <c r="AT65" s="196">
        <f t="shared" si="30"/>
        <v>0</v>
      </c>
      <c r="AU65" s="196">
        <f t="shared" si="30"/>
        <v>1424367.4</v>
      </c>
    </row>
    <row r="66" spans="1:23" ht="12.75" thickTop="1">
      <c r="A66" s="12"/>
      <c r="B66" s="19"/>
      <c r="C66" s="20"/>
      <c r="D66" s="20"/>
      <c r="E66" s="20"/>
      <c r="F66" s="35"/>
      <c r="G66" s="69"/>
      <c r="H66" s="20"/>
      <c r="I66" s="20"/>
      <c r="J66" s="20"/>
      <c r="K66" s="20"/>
      <c r="L66" s="20"/>
      <c r="M66" s="35"/>
      <c r="N66" s="35"/>
      <c r="O66" s="35"/>
      <c r="P66" s="35"/>
      <c r="Q66" s="35"/>
      <c r="R66" s="35"/>
      <c r="S66" s="35"/>
      <c r="T66" s="35"/>
      <c r="U66" s="35"/>
      <c r="V66" s="3"/>
      <c r="W66" s="3"/>
    </row>
    <row r="67" spans="1:23" ht="12">
      <c r="A67" s="70"/>
      <c r="B67" s="19"/>
      <c r="C67" s="20"/>
      <c r="D67" s="20"/>
      <c r="E67" s="18"/>
      <c r="F67" s="71" t="s">
        <v>26</v>
      </c>
      <c r="G67" s="72">
        <f>IRR(F65:AU65)*12</f>
        <v>0.277870961349703</v>
      </c>
      <c r="H67" s="87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2">
      <c r="A68" s="70"/>
      <c r="B68" s="19"/>
      <c r="C68" s="20"/>
      <c r="D68" s="20"/>
      <c r="E68" s="20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ht="12">
      <c r="T69" s="117"/>
    </row>
    <row r="70" ht="12">
      <c r="T70" s="117"/>
    </row>
    <row r="71" ht="12">
      <c r="T71" s="117"/>
    </row>
  </sheetData>
  <sheetProtection/>
  <printOptions/>
  <pageMargins left="0.75" right="0.75" top="1" bottom="1" header="0.5" footer="0.5"/>
  <pageSetup fitToWidth="2" horizontalDpi="600" verticalDpi="600" orientation="landscape" paperSize="5" scale="47"/>
  <headerFooter alignWithMargins="0">
    <oddFooter>&amp;L&amp;F &amp;A&amp;CPage &amp;P of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"/>
  <sheetViews>
    <sheetView zoomScale="125" zoomScaleNormal="125" workbookViewId="0" topLeftCell="A1">
      <pane xSplit="3" ySplit="1" topLeftCell="AJ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P28" sqref="AP28"/>
    </sheetView>
  </sheetViews>
  <sheetFormatPr defaultColWidth="10.28125" defaultRowHeight="12.75"/>
  <cols>
    <col min="1" max="1" width="44.8515625" style="62" customWidth="1"/>
    <col min="2" max="2" width="1.421875" style="62" customWidth="1"/>
    <col min="3" max="3" width="12.00390625" style="62" customWidth="1"/>
    <col min="4" max="4" width="1.421875" style="62" customWidth="1"/>
    <col min="5" max="15" width="10.28125" style="62" customWidth="1"/>
    <col min="16" max="16" width="11.00390625" style="62" bestFit="1" customWidth="1"/>
    <col min="17" max="17" width="10.28125" style="62" customWidth="1"/>
    <col min="18" max="18" width="11.00390625" style="62" bestFit="1" customWidth="1"/>
    <col min="19" max="19" width="11.140625" style="0" bestFit="1" customWidth="1"/>
    <col min="20" max="20" width="11.00390625" style="0" bestFit="1" customWidth="1"/>
    <col min="21" max="21" width="10.28125" style="0" customWidth="1"/>
    <col min="22" max="22" width="11.00390625" style="0" bestFit="1" customWidth="1"/>
    <col min="23" max="24" width="10.28125" style="0" customWidth="1"/>
    <col min="25" max="25" width="11.140625" style="0" bestFit="1" customWidth="1"/>
  </cols>
  <sheetData>
    <row r="1" spans="1:3" ht="12">
      <c r="A1" s="60" t="s">
        <v>24</v>
      </c>
      <c r="B1" s="60"/>
      <c r="C1" s="61"/>
    </row>
    <row r="2" spans="1:4" ht="12">
      <c r="A2" s="83" t="s">
        <v>77</v>
      </c>
      <c r="B2" s="85"/>
      <c r="C2" s="96"/>
      <c r="D2"/>
    </row>
    <row r="3" spans="1:18" ht="12">
      <c r="A3" s="85" t="s">
        <v>123</v>
      </c>
      <c r="B3" s="85"/>
      <c r="C3" s="86">
        <f>Assumptions!C46</f>
        <v>0.9</v>
      </c>
      <c r="D3"/>
      <c r="L3" s="192" t="s">
        <v>138</v>
      </c>
      <c r="R3" s="192" t="s">
        <v>140</v>
      </c>
    </row>
    <row r="4" spans="1:18" ht="12">
      <c r="A4" s="85"/>
      <c r="B4" s="85"/>
      <c r="C4" s="86"/>
      <c r="D4"/>
      <c r="L4" s="192" t="s">
        <v>139</v>
      </c>
      <c r="R4" s="192" t="s">
        <v>141</v>
      </c>
    </row>
    <row r="5" spans="1:47" ht="12">
      <c r="A5" s="122" t="s">
        <v>97</v>
      </c>
      <c r="B5" s="116"/>
      <c r="C5" s="93" t="s">
        <v>41</v>
      </c>
      <c r="D5" s="63"/>
      <c r="F5" s="97">
        <v>39814</v>
      </c>
      <c r="G5" s="97">
        <v>39845</v>
      </c>
      <c r="H5" s="97">
        <v>39873</v>
      </c>
      <c r="I5" s="97">
        <v>39904</v>
      </c>
      <c r="J5" s="97">
        <v>39934</v>
      </c>
      <c r="K5" s="97">
        <v>39965</v>
      </c>
      <c r="L5" s="97">
        <v>39995</v>
      </c>
      <c r="M5" s="97">
        <v>40026</v>
      </c>
      <c r="N5" s="97">
        <v>40057</v>
      </c>
      <c r="O5" s="97">
        <v>40087</v>
      </c>
      <c r="P5" s="97">
        <v>40118</v>
      </c>
      <c r="Q5" s="97">
        <v>40148</v>
      </c>
      <c r="R5" s="97">
        <v>40179</v>
      </c>
      <c r="S5" s="97">
        <v>40210</v>
      </c>
      <c r="T5" s="97">
        <v>40238</v>
      </c>
      <c r="U5" s="97">
        <v>40269</v>
      </c>
      <c r="V5" s="97">
        <v>40299</v>
      </c>
      <c r="W5" s="97">
        <v>40330</v>
      </c>
      <c r="X5" s="97">
        <v>40360</v>
      </c>
      <c r="Y5" s="97">
        <v>40391</v>
      </c>
      <c r="Z5" s="97">
        <v>40422</v>
      </c>
      <c r="AA5" s="97">
        <v>40452</v>
      </c>
      <c r="AB5" s="97">
        <v>40483</v>
      </c>
      <c r="AC5" s="97">
        <v>40513</v>
      </c>
      <c r="AD5" s="97">
        <v>40544</v>
      </c>
      <c r="AE5" s="97">
        <v>40575</v>
      </c>
      <c r="AF5" s="97">
        <v>40603</v>
      </c>
      <c r="AG5" s="97">
        <v>40634</v>
      </c>
      <c r="AH5" s="97">
        <v>40664</v>
      </c>
      <c r="AI5" s="97">
        <v>40695</v>
      </c>
      <c r="AJ5" s="97">
        <v>40725</v>
      </c>
      <c r="AK5" s="97">
        <v>40756</v>
      </c>
      <c r="AL5" s="97">
        <v>40787</v>
      </c>
      <c r="AM5" s="97">
        <v>40817</v>
      </c>
      <c r="AN5" s="97">
        <v>40848</v>
      </c>
      <c r="AO5" s="97">
        <v>40878</v>
      </c>
      <c r="AP5" s="97">
        <v>40909</v>
      </c>
      <c r="AQ5" s="97">
        <v>40940</v>
      </c>
      <c r="AR5" s="97">
        <v>40969</v>
      </c>
      <c r="AS5" s="97">
        <v>41000</v>
      </c>
      <c r="AT5" s="97">
        <v>41030</v>
      </c>
      <c r="AU5" s="97">
        <v>41061</v>
      </c>
    </row>
    <row r="6" spans="1:47" ht="12">
      <c r="A6" s="64" t="s">
        <v>76</v>
      </c>
      <c r="B6" s="64"/>
      <c r="C6" s="193">
        <f>Assumptions!K8</f>
        <v>2547557.6</v>
      </c>
      <c r="F6" s="186">
        <v>0</v>
      </c>
      <c r="G6" s="186">
        <f>F13</f>
        <v>0</v>
      </c>
      <c r="H6" s="186">
        <f aca="true" t="shared" si="0" ref="H6:AM6">G13</f>
        <v>0</v>
      </c>
      <c r="I6" s="186">
        <f t="shared" si="0"/>
        <v>0</v>
      </c>
      <c r="J6" s="186">
        <f t="shared" si="0"/>
        <v>0</v>
      </c>
      <c r="K6" s="186">
        <f t="shared" si="0"/>
        <v>0</v>
      </c>
      <c r="L6" s="186">
        <f t="shared" si="0"/>
        <v>0</v>
      </c>
      <c r="M6" s="186">
        <f t="shared" si="0"/>
        <v>144110.6000000001</v>
      </c>
      <c r="N6" s="186">
        <f t="shared" si="0"/>
        <v>492207.9809583335</v>
      </c>
      <c r="O6" s="186">
        <f t="shared" si="0"/>
        <v>842553.4908353562</v>
      </c>
      <c r="P6" s="186">
        <f t="shared" si="0"/>
        <v>1195161.6487970012</v>
      </c>
      <c r="Q6" s="186">
        <f t="shared" si="0"/>
        <v>1550047.0677788153</v>
      </c>
      <c r="R6" s="186">
        <f t="shared" si="0"/>
        <v>1907224.4550915535</v>
      </c>
      <c r="S6" s="186">
        <f t="shared" si="0"/>
        <v>1949708.6130306865</v>
      </c>
      <c r="T6" s="186">
        <f t="shared" si="0"/>
        <v>1962800.4811565096</v>
      </c>
      <c r="U6" s="186">
        <f t="shared" si="0"/>
        <v>1975976.9009306454</v>
      </c>
      <c r="V6" s="186">
        <f t="shared" si="0"/>
        <v>1659150.9184158226</v>
      </c>
      <c r="W6" s="186">
        <f t="shared" si="0"/>
        <v>1670366.2680972582</v>
      </c>
      <c r="X6" s="186">
        <f t="shared" si="0"/>
        <v>1681654.0502453863</v>
      </c>
      <c r="Y6" s="186">
        <f t="shared" si="0"/>
        <v>1355839.732653221</v>
      </c>
      <c r="Z6" s="186">
        <f t="shared" si="0"/>
        <v>1365096.1975932731</v>
      </c>
      <c r="AA6" s="186">
        <f t="shared" si="0"/>
        <v>1374412.4438693963</v>
      </c>
      <c r="AB6" s="186">
        <f t="shared" si="0"/>
        <v>1039526.3575693863</v>
      </c>
      <c r="AC6" s="186">
        <f t="shared" si="0"/>
        <v>1046739.9652953552</v>
      </c>
      <c r="AD6" s="186">
        <f t="shared" si="0"/>
        <v>1054000.1609045544</v>
      </c>
      <c r="AE6" s="186">
        <f t="shared" si="0"/>
        <v>751976.4120107733</v>
      </c>
      <c r="AF6" s="186">
        <f t="shared" si="0"/>
        <v>757646.2498433474</v>
      </c>
      <c r="AG6" s="186">
        <f t="shared" si="0"/>
        <v>763355.0678110204</v>
      </c>
      <c r="AH6" s="186">
        <f t="shared" si="0"/>
        <v>408640.6339022212</v>
      </c>
      <c r="AI6" s="186">
        <f t="shared" si="0"/>
        <v>411950.038260299</v>
      </c>
      <c r="AJ6" s="186">
        <f t="shared" si="0"/>
        <v>415282.19477333856</v>
      </c>
      <c r="AK6" s="186">
        <f t="shared" si="0"/>
        <v>50682.25986240525</v>
      </c>
      <c r="AL6" s="186">
        <f t="shared" si="0"/>
        <v>51530.700398959285</v>
      </c>
      <c r="AM6" s="186">
        <f t="shared" si="0"/>
        <v>52384.97396420213</v>
      </c>
      <c r="AN6" s="186">
        <v>0</v>
      </c>
      <c r="AO6" s="186">
        <v>0</v>
      </c>
      <c r="AP6" s="186">
        <v>0</v>
      </c>
      <c r="AQ6" s="186">
        <v>0</v>
      </c>
      <c r="AR6" s="186">
        <v>0</v>
      </c>
      <c r="AS6" s="186">
        <v>0</v>
      </c>
      <c r="AT6" s="186">
        <v>0</v>
      </c>
      <c r="AU6" s="186">
        <v>0</v>
      </c>
    </row>
    <row r="7" spans="1:47" ht="12">
      <c r="A7" s="66" t="s">
        <v>40</v>
      </c>
      <c r="B7" s="66"/>
      <c r="C7" s="189">
        <f>SUM(F7:AU7)</f>
        <v>113110.6000000001</v>
      </c>
      <c r="F7" s="187">
        <v>0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f>Assumptions!G30-Assumptions!K11</f>
        <v>113110.6000000001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  <c r="R7" s="187">
        <v>0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X7" s="187">
        <v>0</v>
      </c>
      <c r="Y7" s="187">
        <v>0</v>
      </c>
      <c r="Z7" s="187">
        <v>0</v>
      </c>
      <c r="AA7" s="187">
        <v>0</v>
      </c>
      <c r="AB7" s="187">
        <v>0</v>
      </c>
      <c r="AC7" s="187">
        <v>0</v>
      </c>
      <c r="AD7" s="187">
        <v>0</v>
      </c>
      <c r="AE7" s="187">
        <v>0</v>
      </c>
      <c r="AF7" s="187">
        <v>0</v>
      </c>
      <c r="AG7" s="187">
        <v>0</v>
      </c>
      <c r="AH7" s="187">
        <v>0</v>
      </c>
      <c r="AI7" s="187">
        <v>0</v>
      </c>
      <c r="AJ7" s="187">
        <v>0</v>
      </c>
      <c r="AK7" s="187">
        <v>0</v>
      </c>
      <c r="AL7" s="187">
        <v>0</v>
      </c>
      <c r="AM7" s="187">
        <v>0</v>
      </c>
      <c r="AN7" s="186">
        <v>0</v>
      </c>
      <c r="AO7" s="186">
        <v>0</v>
      </c>
      <c r="AP7" s="186">
        <v>0</v>
      </c>
      <c r="AQ7" s="186">
        <v>0</v>
      </c>
      <c r="AR7" s="186">
        <v>0</v>
      </c>
      <c r="AS7" s="186">
        <v>0</v>
      </c>
      <c r="AT7" s="186">
        <v>0</v>
      </c>
      <c r="AU7" s="186">
        <v>0</v>
      </c>
    </row>
    <row r="8" spans="1:47" ht="12">
      <c r="A8" s="66" t="s">
        <v>51</v>
      </c>
      <c r="B8" s="66"/>
      <c r="C8" s="190">
        <f>SUM(F8:AU8)</f>
        <v>1900000.0000000002</v>
      </c>
      <c r="F8" s="187">
        <f>-'Cash Flow'!F23</f>
        <v>0</v>
      </c>
      <c r="G8" s="187">
        <f>-'Cash Flow'!G23</f>
        <v>0</v>
      </c>
      <c r="H8" s="187">
        <f>-'Cash Flow'!H23</f>
        <v>0</v>
      </c>
      <c r="I8" s="187">
        <f>-'Cash Flow'!I23</f>
        <v>0</v>
      </c>
      <c r="J8" s="187">
        <f>-'Cash Flow'!J23</f>
        <v>0</v>
      </c>
      <c r="K8" s="187">
        <f>-'Cash Flow'!K23</f>
        <v>0</v>
      </c>
      <c r="L8" s="187">
        <f>-'Cash Flow'!L23</f>
        <v>0</v>
      </c>
      <c r="M8" s="187">
        <f>-'Cash Flow'!M23</f>
        <v>316666.6666666667</v>
      </c>
      <c r="N8" s="187">
        <f>-'Cash Flow'!N23</f>
        <v>316666.6666666667</v>
      </c>
      <c r="O8" s="187">
        <f>-'Cash Flow'!O23</f>
        <v>316666.6666666667</v>
      </c>
      <c r="P8" s="187">
        <f>-'Cash Flow'!P23</f>
        <v>316666.6666666667</v>
      </c>
      <c r="Q8" s="187">
        <f>-'Cash Flow'!Q23</f>
        <v>316666.6666666667</v>
      </c>
      <c r="R8" s="187">
        <f>-'Cash Flow'!R23</f>
        <v>316666.6666666667</v>
      </c>
      <c r="S8" s="187">
        <f>-'Cash Flow'!S23</f>
        <v>0</v>
      </c>
      <c r="T8" s="187">
        <f>-'Cash Flow'!T23</f>
        <v>0</v>
      </c>
      <c r="U8" s="187">
        <f>-'Cash Flow'!U23</f>
        <v>0</v>
      </c>
      <c r="V8" s="187">
        <f>-'Cash Flow'!V23</f>
        <v>0</v>
      </c>
      <c r="W8" s="187">
        <f>-'Cash Flow'!W23</f>
        <v>0</v>
      </c>
      <c r="X8" s="187">
        <f>-'Cash Flow'!X23</f>
        <v>0</v>
      </c>
      <c r="Y8" s="187">
        <f>-'Cash Flow'!Y23</f>
        <v>0</v>
      </c>
      <c r="Z8" s="187">
        <f>-'Cash Flow'!Z23</f>
        <v>0</v>
      </c>
      <c r="AA8" s="187">
        <f>-'Cash Flow'!AA23</f>
        <v>0</v>
      </c>
      <c r="AB8" s="187">
        <f>-'Cash Flow'!AB23</f>
        <v>0</v>
      </c>
      <c r="AC8" s="187">
        <f>-'Cash Flow'!AC23</f>
        <v>0</v>
      </c>
      <c r="AD8" s="187">
        <f>-'Cash Flow'!AD23</f>
        <v>0</v>
      </c>
      <c r="AE8" s="187">
        <f>-'Cash Flow'!AE23</f>
        <v>0</v>
      </c>
      <c r="AF8" s="187">
        <f>-'Cash Flow'!AF23</f>
        <v>0</v>
      </c>
      <c r="AG8" s="187">
        <f>-'Cash Flow'!AG23</f>
        <v>0</v>
      </c>
      <c r="AH8" s="187">
        <f>-'Cash Flow'!AH23</f>
        <v>0</v>
      </c>
      <c r="AI8" s="187">
        <f>-'Cash Flow'!AI23</f>
        <v>0</v>
      </c>
      <c r="AJ8" s="187">
        <f>-'Cash Flow'!AJ23</f>
        <v>0</v>
      </c>
      <c r="AK8" s="187">
        <f>-'Cash Flow'!AK23</f>
        <v>0</v>
      </c>
      <c r="AL8" s="187">
        <f>-'Cash Flow'!AL23</f>
        <v>0</v>
      </c>
      <c r="AM8" s="187">
        <f>-'Cash Flow'!AM23</f>
        <v>0</v>
      </c>
      <c r="AN8" s="186">
        <v>0</v>
      </c>
      <c r="AO8" s="186">
        <v>0</v>
      </c>
      <c r="AP8" s="186">
        <v>0</v>
      </c>
      <c r="AQ8" s="186">
        <v>0</v>
      </c>
      <c r="AR8" s="186">
        <v>0</v>
      </c>
      <c r="AS8" s="186">
        <v>0</v>
      </c>
      <c r="AT8" s="186">
        <v>0</v>
      </c>
      <c r="AU8" s="186">
        <v>0</v>
      </c>
    </row>
    <row r="9" spans="1:47" ht="12">
      <c r="A9" s="66" t="s">
        <v>44</v>
      </c>
      <c r="B9" s="66"/>
      <c r="C9" s="190">
        <f>SUM(F9:AU9)</f>
        <v>281700</v>
      </c>
      <c r="F9" s="187">
        <f>-'Cash Flow'!F36</f>
        <v>0</v>
      </c>
      <c r="G9" s="187">
        <f>-'Cash Flow'!G36</f>
        <v>0</v>
      </c>
      <c r="H9" s="187">
        <f>-'Cash Flow'!H36</f>
        <v>0</v>
      </c>
      <c r="I9" s="187">
        <f>-'Cash Flow'!I36</f>
        <v>0</v>
      </c>
      <c r="J9" s="187">
        <f>-'Cash Flow'!J36</f>
        <v>0</v>
      </c>
      <c r="K9" s="187">
        <f>-'Cash Flow'!K36</f>
        <v>0</v>
      </c>
      <c r="L9" s="187">
        <f>-'Cash Flow'!L36</f>
        <v>31000</v>
      </c>
      <c r="M9" s="187">
        <f>-'Cash Flow'!M36</f>
        <v>30500</v>
      </c>
      <c r="N9" s="187">
        <f>-'Cash Flow'!N36</f>
        <v>30500</v>
      </c>
      <c r="O9" s="187">
        <f>-'Cash Flow'!O36</f>
        <v>30500</v>
      </c>
      <c r="P9" s="187">
        <f>-'Cash Flow'!P36</f>
        <v>30500</v>
      </c>
      <c r="Q9" s="187">
        <f>-'Cash Flow'!Q36</f>
        <v>30500</v>
      </c>
      <c r="R9" s="187">
        <f>-'Cash Flow'!R36</f>
        <v>37500</v>
      </c>
      <c r="S9" s="187">
        <f>-'Cash Flow'!S36</f>
        <v>500</v>
      </c>
      <c r="T9" s="187">
        <f>-'Cash Flow'!T36</f>
        <v>500</v>
      </c>
      <c r="U9" s="187">
        <f>-'Cash Flow'!U36</f>
        <v>1500</v>
      </c>
      <c r="V9" s="187">
        <f>-'Cash Flow'!V36</f>
        <v>500</v>
      </c>
      <c r="W9" s="187">
        <f>-'Cash Flow'!W36</f>
        <v>500</v>
      </c>
      <c r="X9" s="187">
        <f>-'Cash Flow'!X36</f>
        <v>1500</v>
      </c>
      <c r="Y9" s="187">
        <f>-'Cash Flow'!Y36</f>
        <v>500</v>
      </c>
      <c r="Z9" s="187">
        <f>-'Cash Flow'!Z36</f>
        <v>500</v>
      </c>
      <c r="AA9" s="187">
        <f>-'Cash Flow'!AA36</f>
        <v>1500</v>
      </c>
      <c r="AB9" s="187">
        <f>-'Cash Flow'!AB36</f>
        <v>500</v>
      </c>
      <c r="AC9" s="187">
        <f>-'Cash Flow'!AC36</f>
        <v>500</v>
      </c>
      <c r="AD9" s="187">
        <f>-'Cash Flow'!AD36</f>
        <v>44700</v>
      </c>
      <c r="AE9" s="187">
        <f>-'Cash Flow'!AE36</f>
        <v>500</v>
      </c>
      <c r="AF9" s="187">
        <f>-'Cash Flow'!AF36</f>
        <v>500</v>
      </c>
      <c r="AG9" s="187">
        <f>-'Cash Flow'!AG36</f>
        <v>1500</v>
      </c>
      <c r="AH9" s="187">
        <f>-'Cash Flow'!AH36</f>
        <v>500</v>
      </c>
      <c r="AI9" s="187">
        <f>-'Cash Flow'!AI36</f>
        <v>500</v>
      </c>
      <c r="AJ9" s="187">
        <f>-'Cash Flow'!AJ36</f>
        <v>1500</v>
      </c>
      <c r="AK9" s="187">
        <f>-'Cash Flow'!AK36</f>
        <v>500</v>
      </c>
      <c r="AL9" s="187">
        <f>-'Cash Flow'!AL36</f>
        <v>500</v>
      </c>
      <c r="AM9" s="187">
        <f>-'Cash Flow'!AM36</f>
        <v>1500</v>
      </c>
      <c r="AN9" s="186">
        <v>0</v>
      </c>
      <c r="AO9" s="186">
        <v>0</v>
      </c>
      <c r="AP9" s="186">
        <v>0</v>
      </c>
      <c r="AQ9" s="186">
        <v>0</v>
      </c>
      <c r="AR9" s="186">
        <v>0</v>
      </c>
      <c r="AS9" s="186">
        <v>0</v>
      </c>
      <c r="AT9" s="186">
        <v>0</v>
      </c>
      <c r="AU9" s="186">
        <v>0</v>
      </c>
    </row>
    <row r="10" spans="1:47" ht="12">
      <c r="A10" s="66" t="s">
        <v>43</v>
      </c>
      <c r="B10" s="66"/>
      <c r="C10" s="190">
        <f>SUM(F10:AU10)</f>
        <v>182347.02066020522</v>
      </c>
      <c r="F10" s="187">
        <f>-'Cash Flow'!F44</f>
        <v>0</v>
      </c>
      <c r="G10" s="187">
        <f>-'Cash Flow'!G44</f>
        <v>0</v>
      </c>
      <c r="H10" s="187">
        <f>-'Cash Flow'!H44</f>
        <v>0</v>
      </c>
      <c r="I10" s="187">
        <f>-'Cash Flow'!I44</f>
        <v>0</v>
      </c>
      <c r="J10" s="187">
        <f>-'Cash Flow'!J44</f>
        <v>0</v>
      </c>
      <c r="K10" s="187">
        <f>-'Cash Flow'!K44</f>
        <v>0</v>
      </c>
      <c r="L10" s="187">
        <f>-'Cash Flow'!L44</f>
        <v>0</v>
      </c>
      <c r="M10" s="187">
        <f>-'Cash Flow'!M44</f>
        <v>930.7142916666672</v>
      </c>
      <c r="N10" s="187">
        <f>-'Cash Flow'!N44</f>
        <v>3178.843210355904</v>
      </c>
      <c r="O10" s="187">
        <f>-'Cash Flow'!O44</f>
        <v>5441.491294978342</v>
      </c>
      <c r="P10" s="187">
        <f>-'Cash Flow'!P44</f>
        <v>7718.7523151473</v>
      </c>
      <c r="Q10" s="187">
        <f>-'Cash Flow'!Q44</f>
        <v>10010.720646071515</v>
      </c>
      <c r="R10" s="187">
        <f>-'Cash Flow'!R44</f>
        <v>12317.491272466284</v>
      </c>
      <c r="S10" s="187">
        <f>-'Cash Flow'!S44</f>
        <v>12591.868125823183</v>
      </c>
      <c r="T10" s="187">
        <f>-'Cash Flow'!T44</f>
        <v>12676.419774135791</v>
      </c>
      <c r="U10" s="187">
        <f>-'Cash Flow'!U44</f>
        <v>12761.517485177084</v>
      </c>
      <c r="V10" s="187">
        <f>-'Cash Flow'!V44</f>
        <v>10715.34968143552</v>
      </c>
      <c r="W10" s="187">
        <f>-'Cash Flow'!W44</f>
        <v>10787.782148128126</v>
      </c>
      <c r="X10" s="187">
        <f>-'Cash Flow'!X44</f>
        <v>10860.682407834787</v>
      </c>
      <c r="Y10" s="187">
        <f>-'Cash Flow'!Y44</f>
        <v>8756.464940052052</v>
      </c>
      <c r="Z10" s="187">
        <f>-'Cash Flow'!Z44</f>
        <v>8816.246276123222</v>
      </c>
      <c r="AA10" s="187">
        <f>-'Cash Flow'!AA44</f>
        <v>8876.413699989851</v>
      </c>
      <c r="AB10" s="187">
        <f>-'Cash Flow'!AB44</f>
        <v>6713.607725968953</v>
      </c>
      <c r="AC10" s="187">
        <f>-'Cash Flow'!AC44</f>
        <v>6760.19560919917</v>
      </c>
      <c r="AD10" s="187">
        <f>-'Cash Flow'!AD44</f>
        <v>7246.251106218812</v>
      </c>
      <c r="AE10" s="187">
        <f>-'Cash Flow'!AE44</f>
        <v>5169.837832574067</v>
      </c>
      <c r="AF10" s="187">
        <f>-'Cash Flow'!AF44</f>
        <v>5208.817967673013</v>
      </c>
      <c r="AG10" s="187">
        <f>-'Cash Flow'!AG44</f>
        <v>5248.066091200765</v>
      </c>
      <c r="AH10" s="187">
        <f>-'Cash Flow'!AH44</f>
        <v>2809.404358077771</v>
      </c>
      <c r="AI10" s="187">
        <f>-'Cash Flow'!AI44</f>
        <v>2832.1565130395556</v>
      </c>
      <c r="AJ10" s="187">
        <f>-'Cash Flow'!AJ44</f>
        <v>2855.0650890667025</v>
      </c>
      <c r="AK10" s="187">
        <f>-'Cash Flow'!AK44</f>
        <v>348.4405365540361</v>
      </c>
      <c r="AL10" s="187">
        <f>-'Cash Flow'!AL44</f>
        <v>354.2735652428451</v>
      </c>
      <c r="AM10" s="187">
        <f>-'Cash Flow'!AM44</f>
        <v>360.1466960038897</v>
      </c>
      <c r="AN10" s="186">
        <v>0</v>
      </c>
      <c r="AO10" s="186">
        <v>0</v>
      </c>
      <c r="AP10" s="186">
        <v>0</v>
      </c>
      <c r="AQ10" s="186">
        <v>0</v>
      </c>
      <c r="AR10" s="186">
        <v>0</v>
      </c>
      <c r="AS10" s="186">
        <v>0</v>
      </c>
      <c r="AT10" s="186">
        <v>0</v>
      </c>
      <c r="AU10" s="186">
        <v>0</v>
      </c>
    </row>
    <row r="11" spans="1:47" ht="12">
      <c r="A11" s="66" t="s">
        <v>84</v>
      </c>
      <c r="B11" s="66"/>
      <c r="C11" s="94">
        <f>SUM(F11:AU11)</f>
        <v>-2799360</v>
      </c>
      <c r="F11" s="187">
        <f>-'Sales Proceeds'!F14*$C3</f>
        <v>0</v>
      </c>
      <c r="G11" s="187">
        <f>-'Sales Proceeds'!G14*$C3</f>
        <v>0</v>
      </c>
      <c r="H11" s="187">
        <f>-'Sales Proceeds'!H14*$C3</f>
        <v>0</v>
      </c>
      <c r="I11" s="187">
        <f>-'Sales Proceeds'!I14*$C3</f>
        <v>0</v>
      </c>
      <c r="J11" s="187">
        <f>-'Sales Proceeds'!J14*$C3</f>
        <v>0</v>
      </c>
      <c r="K11" s="187">
        <f>-'Sales Proceeds'!K14*$C3</f>
        <v>0</v>
      </c>
      <c r="L11" s="187">
        <f>-'Sales Proceeds'!L14*$C3</f>
        <v>0</v>
      </c>
      <c r="M11" s="187">
        <f>-'Sales Proceeds'!M14*$C3</f>
        <v>0</v>
      </c>
      <c r="N11" s="187">
        <f>-'Sales Proceeds'!N14*$C3</f>
        <v>0</v>
      </c>
      <c r="O11" s="187">
        <f>-'Sales Proceeds'!O14*$C3</f>
        <v>0</v>
      </c>
      <c r="P11" s="187">
        <f>-'Sales Proceeds'!P14*$C3</f>
        <v>0</v>
      </c>
      <c r="Q11" s="187">
        <f>-'Sales Proceeds'!Q14*$C3</f>
        <v>0</v>
      </c>
      <c r="R11" s="187">
        <f>-'Sales Proceeds'!R14*$C3</f>
        <v>-324000</v>
      </c>
      <c r="S11" s="187">
        <f>-'Sales Proceeds'!S14*$C3</f>
        <v>0</v>
      </c>
      <c r="T11" s="187">
        <f>-'Sales Proceeds'!T14*$C3</f>
        <v>0</v>
      </c>
      <c r="U11" s="187">
        <f>-'Sales Proceeds'!U14*$C3</f>
        <v>-331087.5</v>
      </c>
      <c r="V11" s="187">
        <f>-'Sales Proceeds'!V14*$C3</f>
        <v>0</v>
      </c>
      <c r="W11" s="187">
        <f>-'Sales Proceeds'!W14*$C3</f>
        <v>0</v>
      </c>
      <c r="X11" s="187">
        <f>-'Sales Proceeds'!X14*$C3</f>
        <v>-338175</v>
      </c>
      <c r="Y11" s="187">
        <f>-'Sales Proceeds'!Y14*$C3</f>
        <v>0</v>
      </c>
      <c r="Z11" s="187">
        <f>-'Sales Proceeds'!Z14*$C3</f>
        <v>0</v>
      </c>
      <c r="AA11" s="187">
        <f>-'Sales Proceeds'!AA14*$C3</f>
        <v>-345262.5</v>
      </c>
      <c r="AB11" s="187">
        <f>-'Sales Proceeds'!AB14*$C3</f>
        <v>0</v>
      </c>
      <c r="AC11" s="187">
        <f>-'Sales Proceeds'!AC14*$C3</f>
        <v>0</v>
      </c>
      <c r="AD11" s="187">
        <f>-'Sales Proceeds'!AD14*$C3</f>
        <v>-353970</v>
      </c>
      <c r="AE11" s="187">
        <f>-'Sales Proceeds'!AE14*$C3</f>
        <v>0</v>
      </c>
      <c r="AF11" s="187">
        <f>-'Sales Proceeds'!AF14*$C3</f>
        <v>0</v>
      </c>
      <c r="AG11" s="187">
        <f>-'Sales Proceeds'!AG14*$C3</f>
        <v>-361462.5</v>
      </c>
      <c r="AH11" s="187">
        <f>-'Sales Proceeds'!AH14*$C3</f>
        <v>0</v>
      </c>
      <c r="AI11" s="187">
        <f>-'Sales Proceeds'!AI14*$C3</f>
        <v>0</v>
      </c>
      <c r="AJ11" s="187">
        <f>-'Sales Proceeds'!AJ14*$C3</f>
        <v>-368955</v>
      </c>
      <c r="AK11" s="187">
        <f>-'Sales Proceeds'!AK14*$C3</f>
        <v>0</v>
      </c>
      <c r="AL11" s="187">
        <f>-'Sales Proceeds'!AL14*$C3</f>
        <v>0</v>
      </c>
      <c r="AM11" s="187">
        <f>-'Sales Proceeds'!AM14*$C3</f>
        <v>-376447.5</v>
      </c>
      <c r="AN11" s="186">
        <v>0</v>
      </c>
      <c r="AO11" s="186">
        <v>0</v>
      </c>
      <c r="AP11" s="186">
        <v>0</v>
      </c>
      <c r="AQ11" s="186">
        <v>0</v>
      </c>
      <c r="AR11" s="186">
        <v>0</v>
      </c>
      <c r="AS11" s="186">
        <v>0</v>
      </c>
      <c r="AT11" s="186">
        <v>0</v>
      </c>
      <c r="AU11" s="186">
        <v>0</v>
      </c>
    </row>
    <row r="12" spans="1:47" ht="12">
      <c r="A12" s="66" t="s">
        <v>58</v>
      </c>
      <c r="B12" s="66"/>
      <c r="C12" s="94"/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0</v>
      </c>
      <c r="AJ12" s="187">
        <v>0</v>
      </c>
      <c r="AK12" s="187">
        <v>0</v>
      </c>
      <c r="AL12" s="187">
        <v>0</v>
      </c>
      <c r="AM12" s="187">
        <v>322202</v>
      </c>
      <c r="AN12" s="186">
        <v>0</v>
      </c>
      <c r="AO12" s="186">
        <v>0</v>
      </c>
      <c r="AP12" s="186">
        <v>0</v>
      </c>
      <c r="AQ12" s="186">
        <v>0</v>
      </c>
      <c r="AR12" s="186">
        <v>0</v>
      </c>
      <c r="AS12" s="186">
        <v>0</v>
      </c>
      <c r="AT12" s="186">
        <v>0</v>
      </c>
      <c r="AU12" s="186">
        <v>0</v>
      </c>
    </row>
    <row r="13" spans="1:47" ht="12">
      <c r="A13" s="67" t="s">
        <v>42</v>
      </c>
      <c r="B13" s="67"/>
      <c r="C13" s="191">
        <f>SUM(C7:C10)</f>
        <v>2477157.620660206</v>
      </c>
      <c r="F13" s="188">
        <f>SUM(F6:F12)</f>
        <v>0</v>
      </c>
      <c r="G13" s="188">
        <f aca="true" t="shared" si="1" ref="G13:AU13">SUM(G6:G12)</f>
        <v>0</v>
      </c>
      <c r="H13" s="188">
        <f t="shared" si="1"/>
        <v>0</v>
      </c>
      <c r="I13" s="188">
        <f t="shared" si="1"/>
        <v>0</v>
      </c>
      <c r="J13" s="188">
        <f t="shared" si="1"/>
        <v>0</v>
      </c>
      <c r="K13" s="188">
        <f t="shared" si="1"/>
        <v>0</v>
      </c>
      <c r="L13" s="188">
        <f t="shared" si="1"/>
        <v>144110.6000000001</v>
      </c>
      <c r="M13" s="188">
        <f t="shared" si="1"/>
        <v>492207.9809583335</v>
      </c>
      <c r="N13" s="188">
        <f t="shared" si="1"/>
        <v>842553.4908353562</v>
      </c>
      <c r="O13" s="188">
        <f t="shared" si="1"/>
        <v>1195161.6487970012</v>
      </c>
      <c r="P13" s="188">
        <f t="shared" si="1"/>
        <v>1550047.0677788153</v>
      </c>
      <c r="Q13" s="188">
        <f t="shared" si="1"/>
        <v>1907224.4550915535</v>
      </c>
      <c r="R13" s="188">
        <f t="shared" si="1"/>
        <v>1949708.6130306865</v>
      </c>
      <c r="S13" s="188">
        <f t="shared" si="1"/>
        <v>1962800.4811565096</v>
      </c>
      <c r="T13" s="188">
        <f t="shared" si="1"/>
        <v>1975976.9009306454</v>
      </c>
      <c r="U13" s="188">
        <f t="shared" si="1"/>
        <v>1659150.9184158226</v>
      </c>
      <c r="V13" s="188">
        <f t="shared" si="1"/>
        <v>1670366.2680972582</v>
      </c>
      <c r="W13" s="188">
        <f t="shared" si="1"/>
        <v>1681654.0502453863</v>
      </c>
      <c r="X13" s="188">
        <f t="shared" si="1"/>
        <v>1355839.732653221</v>
      </c>
      <c r="Y13" s="188">
        <f t="shared" si="1"/>
        <v>1365096.1975932731</v>
      </c>
      <c r="Z13" s="188">
        <f t="shared" si="1"/>
        <v>1374412.4438693963</v>
      </c>
      <c r="AA13" s="188">
        <f t="shared" si="1"/>
        <v>1039526.3575693863</v>
      </c>
      <c r="AB13" s="188">
        <f t="shared" si="1"/>
        <v>1046739.9652953552</v>
      </c>
      <c r="AC13" s="188">
        <f t="shared" si="1"/>
        <v>1054000.1609045544</v>
      </c>
      <c r="AD13" s="188">
        <f t="shared" si="1"/>
        <v>751976.4120107733</v>
      </c>
      <c r="AE13" s="188">
        <f t="shared" si="1"/>
        <v>757646.2498433474</v>
      </c>
      <c r="AF13" s="188">
        <f t="shared" si="1"/>
        <v>763355.0678110204</v>
      </c>
      <c r="AG13" s="188">
        <f t="shared" si="1"/>
        <v>408640.6339022212</v>
      </c>
      <c r="AH13" s="188">
        <f t="shared" si="1"/>
        <v>411950.038260299</v>
      </c>
      <c r="AI13" s="188">
        <f t="shared" si="1"/>
        <v>415282.19477333856</v>
      </c>
      <c r="AJ13" s="188">
        <f t="shared" si="1"/>
        <v>50682.25986240525</v>
      </c>
      <c r="AK13" s="188">
        <f t="shared" si="1"/>
        <v>51530.700398959285</v>
      </c>
      <c r="AL13" s="188">
        <f t="shared" si="1"/>
        <v>52384.97396420213</v>
      </c>
      <c r="AM13" s="188">
        <f t="shared" si="1"/>
        <v>-0.37933979398803785</v>
      </c>
      <c r="AN13" s="188">
        <f t="shared" si="1"/>
        <v>0</v>
      </c>
      <c r="AO13" s="188">
        <f t="shared" si="1"/>
        <v>0</v>
      </c>
      <c r="AP13" s="188">
        <f t="shared" si="1"/>
        <v>0</v>
      </c>
      <c r="AQ13" s="188">
        <f t="shared" si="1"/>
        <v>0</v>
      </c>
      <c r="AR13" s="188">
        <f t="shared" si="1"/>
        <v>0</v>
      </c>
      <c r="AS13" s="188">
        <f t="shared" si="1"/>
        <v>0</v>
      </c>
      <c r="AT13" s="188">
        <f t="shared" si="1"/>
        <v>0</v>
      </c>
      <c r="AU13" s="188">
        <f t="shared" si="1"/>
        <v>0</v>
      </c>
    </row>
    <row r="14" spans="1:47" ht="12">
      <c r="A14" s="65"/>
      <c r="B14" s="65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</row>
    <row r="15" spans="1:47" ht="12">
      <c r="A15" s="65" t="s">
        <v>127</v>
      </c>
      <c r="B15" s="65"/>
      <c r="C15" s="65"/>
      <c r="F15" s="125">
        <f>Assumptions!$C45</f>
        <v>0.0775</v>
      </c>
      <c r="G15" s="125">
        <f>Assumptions!$C45</f>
        <v>0.0775</v>
      </c>
      <c r="H15" s="125">
        <f>Assumptions!$C45</f>
        <v>0.0775</v>
      </c>
      <c r="I15" s="125">
        <f>Assumptions!$C45</f>
        <v>0.0775</v>
      </c>
      <c r="J15" s="125">
        <f>Assumptions!$C45</f>
        <v>0.0775</v>
      </c>
      <c r="K15" s="125">
        <f>Assumptions!$C45</f>
        <v>0.0775</v>
      </c>
      <c r="L15" s="125">
        <f>Assumptions!$C45</f>
        <v>0.0775</v>
      </c>
      <c r="M15" s="125">
        <f>Assumptions!$C45</f>
        <v>0.0775</v>
      </c>
      <c r="N15" s="125">
        <f>Assumptions!$C45</f>
        <v>0.0775</v>
      </c>
      <c r="O15" s="125">
        <f>Assumptions!$C45</f>
        <v>0.0775</v>
      </c>
      <c r="P15" s="125">
        <f>Assumptions!$C45</f>
        <v>0.0775</v>
      </c>
      <c r="Q15" s="125">
        <f>Assumptions!$C45</f>
        <v>0.0775</v>
      </c>
      <c r="R15" s="125">
        <f>Assumptions!$C45</f>
        <v>0.0775</v>
      </c>
      <c r="S15" s="125">
        <f>Assumptions!$C45</f>
        <v>0.0775</v>
      </c>
      <c r="T15" s="125">
        <f>Assumptions!$C45</f>
        <v>0.0775</v>
      </c>
      <c r="U15" s="125">
        <f>Assumptions!$C45</f>
        <v>0.0775</v>
      </c>
      <c r="V15" s="125">
        <f>Assumptions!$C45</f>
        <v>0.0775</v>
      </c>
      <c r="W15" s="125">
        <f>Assumptions!$C45</f>
        <v>0.0775</v>
      </c>
      <c r="X15" s="125">
        <f>Assumptions!$C45</f>
        <v>0.0775</v>
      </c>
      <c r="Y15" s="125">
        <f>Assumptions!$C45</f>
        <v>0.0775</v>
      </c>
      <c r="Z15" s="125">
        <f>Assumptions!$C45</f>
        <v>0.0775</v>
      </c>
      <c r="AA15" s="125">
        <f>Assumptions!$C45</f>
        <v>0.0775</v>
      </c>
      <c r="AB15" s="125">
        <f>Assumptions!$C45</f>
        <v>0.0775</v>
      </c>
      <c r="AC15" s="125">
        <f>Assumptions!$C45</f>
        <v>0.0775</v>
      </c>
      <c r="AD15" s="125">
        <f>Assumptions!$C45+0.5%</f>
        <v>0.0825</v>
      </c>
      <c r="AE15" s="125">
        <f>Assumptions!$C45+0.5%</f>
        <v>0.0825</v>
      </c>
      <c r="AF15" s="125">
        <f>Assumptions!$C45+0.5%</f>
        <v>0.0825</v>
      </c>
      <c r="AG15" s="125">
        <f>Assumptions!$C45+0.5%</f>
        <v>0.0825</v>
      </c>
      <c r="AH15" s="125">
        <f>Assumptions!$C45+0.5%</f>
        <v>0.0825</v>
      </c>
      <c r="AI15" s="125">
        <f>Assumptions!$C45+0.5%</f>
        <v>0.0825</v>
      </c>
      <c r="AJ15" s="125">
        <f>Assumptions!$C45+0.5%</f>
        <v>0.0825</v>
      </c>
      <c r="AK15" s="125">
        <f>Assumptions!$C45+0.5%</f>
        <v>0.0825</v>
      </c>
      <c r="AL15" s="125">
        <f>Assumptions!$C45+0.5%</f>
        <v>0.0825</v>
      </c>
      <c r="AM15" s="125">
        <f>Assumptions!$C45+0.5%</f>
        <v>0.0825</v>
      </c>
      <c r="AN15" s="125">
        <f>Assumptions!$C45+0.5%</f>
        <v>0.0825</v>
      </c>
      <c r="AO15" s="125">
        <f>Assumptions!$C45+0.5%</f>
        <v>0.0825</v>
      </c>
      <c r="AP15" s="125">
        <f>Assumptions!$C45+0.5%</f>
        <v>0.0825</v>
      </c>
      <c r="AQ15" s="125">
        <f>Assumptions!$C45+0.5%</f>
        <v>0.0825</v>
      </c>
      <c r="AR15" s="125">
        <f>Assumptions!$C45+0.5%</f>
        <v>0.0825</v>
      </c>
      <c r="AS15" s="125">
        <f>Assumptions!$C45+0.5%</f>
        <v>0.0825</v>
      </c>
      <c r="AT15" s="125">
        <f>Assumptions!$C45+0.5%</f>
        <v>0.0825</v>
      </c>
      <c r="AU15" s="125">
        <f>Assumptions!$C45+0.5%</f>
        <v>0.0825</v>
      </c>
    </row>
    <row r="16" spans="1:47" ht="12">
      <c r="A16" s="62" t="s">
        <v>18</v>
      </c>
      <c r="F16" s="68">
        <v>0</v>
      </c>
      <c r="G16" s="68">
        <f>F13*G15/12</f>
        <v>0</v>
      </c>
      <c r="H16" s="68">
        <f aca="true" t="shared" si="2" ref="H16:AU16">G13*H15/12</f>
        <v>0</v>
      </c>
      <c r="I16" s="68">
        <f t="shared" si="2"/>
        <v>0</v>
      </c>
      <c r="J16" s="68">
        <f t="shared" si="2"/>
        <v>0</v>
      </c>
      <c r="K16" s="68">
        <f t="shared" si="2"/>
        <v>0</v>
      </c>
      <c r="L16" s="68">
        <f t="shared" si="2"/>
        <v>0</v>
      </c>
      <c r="M16" s="68">
        <f t="shared" si="2"/>
        <v>930.7142916666672</v>
      </c>
      <c r="N16" s="68">
        <f t="shared" si="2"/>
        <v>3178.843210355904</v>
      </c>
      <c r="O16" s="68">
        <f t="shared" si="2"/>
        <v>5441.491294978342</v>
      </c>
      <c r="P16" s="68">
        <f t="shared" si="2"/>
        <v>7718.7523151473</v>
      </c>
      <c r="Q16" s="68">
        <f t="shared" si="2"/>
        <v>10010.720646071515</v>
      </c>
      <c r="R16" s="68">
        <f t="shared" si="2"/>
        <v>12317.491272466284</v>
      </c>
      <c r="S16" s="68">
        <f t="shared" si="2"/>
        <v>12591.868125823183</v>
      </c>
      <c r="T16" s="68">
        <f t="shared" si="2"/>
        <v>12676.419774135791</v>
      </c>
      <c r="U16" s="68">
        <f t="shared" si="2"/>
        <v>12761.517485177084</v>
      </c>
      <c r="V16" s="68">
        <f t="shared" si="2"/>
        <v>10715.34968143552</v>
      </c>
      <c r="W16" s="68">
        <f t="shared" si="2"/>
        <v>10787.782148128126</v>
      </c>
      <c r="X16" s="68">
        <f t="shared" si="2"/>
        <v>10860.682407834787</v>
      </c>
      <c r="Y16" s="68">
        <f t="shared" si="2"/>
        <v>8756.464940052052</v>
      </c>
      <c r="Z16" s="68">
        <f t="shared" si="2"/>
        <v>8816.246276123222</v>
      </c>
      <c r="AA16" s="68">
        <f t="shared" si="2"/>
        <v>8876.413699989851</v>
      </c>
      <c r="AB16" s="68">
        <f t="shared" si="2"/>
        <v>6713.607725968953</v>
      </c>
      <c r="AC16" s="68">
        <f t="shared" si="2"/>
        <v>6760.19560919917</v>
      </c>
      <c r="AD16" s="68">
        <f t="shared" si="2"/>
        <v>7246.251106218812</v>
      </c>
      <c r="AE16" s="68">
        <f t="shared" si="2"/>
        <v>5169.837832574067</v>
      </c>
      <c r="AF16" s="68">
        <f t="shared" si="2"/>
        <v>5208.817967673013</v>
      </c>
      <c r="AG16" s="68">
        <f t="shared" si="2"/>
        <v>5248.066091200765</v>
      </c>
      <c r="AH16" s="68">
        <f t="shared" si="2"/>
        <v>2809.404358077771</v>
      </c>
      <c r="AI16" s="68">
        <f t="shared" si="2"/>
        <v>2832.1565130395556</v>
      </c>
      <c r="AJ16" s="68">
        <f t="shared" si="2"/>
        <v>2855.0650890667025</v>
      </c>
      <c r="AK16" s="68">
        <f t="shared" si="2"/>
        <v>348.4405365540361</v>
      </c>
      <c r="AL16" s="68">
        <f t="shared" si="2"/>
        <v>354.2735652428451</v>
      </c>
      <c r="AM16" s="68">
        <f t="shared" si="2"/>
        <v>360.1466960038897</v>
      </c>
      <c r="AN16" s="68">
        <f t="shared" si="2"/>
        <v>-0.0026079610836677604</v>
      </c>
      <c r="AO16" s="68">
        <f t="shared" si="2"/>
        <v>0</v>
      </c>
      <c r="AP16" s="68">
        <f t="shared" si="2"/>
        <v>0</v>
      </c>
      <c r="AQ16" s="68">
        <f t="shared" si="2"/>
        <v>0</v>
      </c>
      <c r="AR16" s="68">
        <f t="shared" si="2"/>
        <v>0</v>
      </c>
      <c r="AS16" s="68">
        <f t="shared" si="2"/>
        <v>0</v>
      </c>
      <c r="AT16" s="68">
        <f t="shared" si="2"/>
        <v>0</v>
      </c>
      <c r="AU16" s="68">
        <f t="shared" si="2"/>
        <v>0</v>
      </c>
    </row>
    <row r="20" ht="12">
      <c r="AJ20" s="117"/>
    </row>
  </sheetData>
  <sheetProtection/>
  <printOptions/>
  <pageMargins left="0.75" right="0.75" top="1" bottom="1" header="0.5" footer="0.5"/>
  <pageSetup fitToWidth="2" fitToHeight="1" horizontalDpi="600" verticalDpi="600" orientation="landscape" paperSize="5" scale="63"/>
  <headerFooter alignWithMargins="0">
    <oddFooter>&amp;L&amp;F &amp;A&amp;CPage &amp;P of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5" sqref="A5"/>
    </sheetView>
  </sheetViews>
  <sheetFormatPr defaultColWidth="8.8515625" defaultRowHeight="12.75"/>
  <cols>
    <col min="1" max="1" width="145.140625" style="0" customWidth="1"/>
  </cols>
  <sheetData>
    <row r="1" ht="12">
      <c r="A1" s="21" t="s">
        <v>47</v>
      </c>
    </row>
    <row r="3" ht="12">
      <c r="A3" t="s">
        <v>91</v>
      </c>
    </row>
    <row r="5" ht="12">
      <c r="A5" t="s">
        <v>81</v>
      </c>
    </row>
    <row r="7" ht="12">
      <c r="A7" t="s">
        <v>90</v>
      </c>
    </row>
    <row r="8" spans="1:2" ht="12">
      <c r="A8" s="90"/>
      <c r="B8" s="92"/>
    </row>
    <row r="9" ht="12">
      <c r="A9" s="91" t="s">
        <v>92</v>
      </c>
    </row>
    <row r="10" ht="12">
      <c r="A10" s="90"/>
    </row>
    <row r="11" ht="12">
      <c r="A11" t="s">
        <v>93</v>
      </c>
    </row>
    <row r="13" ht="12">
      <c r="A13" t="s">
        <v>94</v>
      </c>
    </row>
    <row r="15" ht="12">
      <c r="A15" t="s">
        <v>95</v>
      </c>
    </row>
    <row r="17" ht="12">
      <c r="A17" t="s">
        <v>130</v>
      </c>
    </row>
  </sheetData>
  <sheetProtection/>
  <printOptions/>
  <pageMargins left="0.75" right="0.75" top="1" bottom="1" header="0.5" footer="0.5"/>
  <pageSetup horizontalDpi="600" verticalDpi="600" orientation="landscape" paperSize="5"/>
  <headerFooter alignWithMargins="0">
    <oddFooter>&amp;L&amp;F &amp;A&amp;CPage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Highland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Yazzel Ponce</dc:creator>
  <cp:keywords/>
  <dc:description/>
  <cp:lastModifiedBy>Landon Parker</cp:lastModifiedBy>
  <cp:lastPrinted>2009-03-31T21:22:10Z</cp:lastPrinted>
  <dcterms:created xsi:type="dcterms:W3CDTF">2000-07-12T18:45:43Z</dcterms:created>
  <dcterms:modified xsi:type="dcterms:W3CDTF">2017-04-26T23:27:55Z</dcterms:modified>
  <cp:category/>
  <cp:version/>
  <cp:contentType/>
  <cp:contentStatus/>
</cp:coreProperties>
</file>