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Jason Pollan\School\TAMU\MLPD\_LDEV 688 - Development Feasibility &amp; Design II\Final Project\"/>
    </mc:Choice>
  </mc:AlternateContent>
  <xr:revisionPtr revIDLastSave="0" documentId="13_ncr:1_{ED3E9A88-28DE-45D0-807A-F85842767A27}" xr6:coauthVersionLast="45" xr6:coauthVersionMax="45" xr10:uidLastSave="{00000000-0000-0000-0000-000000000000}"/>
  <bookViews>
    <workbookView xWindow="-120" yWindow="-120" windowWidth="20730" windowHeight="11160" xr2:uid="{956510AC-91AF-4AB9-B0B4-1B1A27E8F5AE}"/>
  </bookViews>
  <sheets>
    <sheet name="Summary" sheetId="1" r:id="rId1"/>
    <sheet name="Cost" sheetId="2" r:id="rId2"/>
    <sheet name="Financing" sheetId="3" r:id="rId3"/>
    <sheet name="Pro Forma" sheetId="4" r:id="rId4"/>
    <sheet name="Equity Repayment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E29" i="1"/>
  <c r="E30" i="1"/>
  <c r="E31" i="1"/>
  <c r="E32" i="1"/>
  <c r="E33" i="1"/>
  <c r="E34" i="1"/>
  <c r="E35" i="1"/>
  <c r="E36" i="1"/>
  <c r="E37" i="1"/>
  <c r="E38" i="1"/>
  <c r="E39" i="1"/>
  <c r="E40" i="1"/>
  <c r="E28" i="1"/>
  <c r="E27" i="1"/>
  <c r="D42" i="2"/>
  <c r="D41" i="2"/>
  <c r="D40" i="2"/>
  <c r="D39" i="2"/>
  <c r="D38" i="2"/>
  <c r="D37" i="2"/>
  <c r="D36" i="2"/>
  <c r="D35" i="2"/>
  <c r="D34" i="2"/>
  <c r="D33" i="2"/>
  <c r="C42" i="2"/>
  <c r="C41" i="2"/>
  <c r="C40" i="2"/>
  <c r="C39" i="2"/>
  <c r="C38" i="2"/>
  <c r="C37" i="2"/>
  <c r="C36" i="2"/>
  <c r="C35" i="2"/>
  <c r="C34" i="2"/>
  <c r="C33" i="2"/>
  <c r="N17" i="1" l="1"/>
  <c r="N16" i="1"/>
  <c r="N15" i="1"/>
  <c r="N14" i="1"/>
  <c r="N13" i="1"/>
  <c r="M14" i="1"/>
  <c r="M15" i="1"/>
  <c r="M16" i="1"/>
  <c r="M17" i="1"/>
  <c r="M13" i="1"/>
  <c r="M6" i="1"/>
  <c r="N6" i="1"/>
  <c r="N7" i="1"/>
  <c r="N8" i="1"/>
  <c r="N9" i="1"/>
  <c r="N10" i="1"/>
  <c r="M7" i="1"/>
  <c r="M8" i="1"/>
  <c r="M9" i="1"/>
  <c r="M10" i="1"/>
  <c r="M5" i="1"/>
  <c r="P5" i="1"/>
  <c r="P7" i="1"/>
  <c r="P8" i="1"/>
  <c r="P9" i="1"/>
  <c r="P10" i="1"/>
  <c r="P6" i="1"/>
  <c r="C25" i="1"/>
  <c r="J11" i="1"/>
  <c r="K11" i="1"/>
  <c r="I12" i="1"/>
  <c r="I13" i="1"/>
  <c r="I14" i="1"/>
  <c r="I15" i="1"/>
  <c r="I11" i="1"/>
  <c r="I10" i="1"/>
  <c r="F6" i="1"/>
  <c r="G6" i="1"/>
  <c r="E6" i="1"/>
  <c r="E5" i="1"/>
  <c r="F7" i="1"/>
  <c r="G7" i="1"/>
  <c r="F8" i="1"/>
  <c r="F9" i="1"/>
  <c r="G9" i="1"/>
  <c r="F10" i="1"/>
  <c r="F11" i="1"/>
  <c r="F12" i="1"/>
  <c r="G12" i="1"/>
  <c r="F13" i="1"/>
  <c r="F14" i="1"/>
  <c r="F15" i="1"/>
  <c r="G15" i="1"/>
  <c r="F16" i="1"/>
  <c r="E16" i="1"/>
  <c r="E8" i="1"/>
  <c r="E9" i="1"/>
  <c r="E10" i="1"/>
  <c r="E11" i="1"/>
  <c r="E12" i="1"/>
  <c r="E13" i="1"/>
  <c r="E14" i="1"/>
  <c r="E15" i="1"/>
  <c r="E7" i="1"/>
  <c r="E18" i="1"/>
  <c r="F19" i="1"/>
  <c r="G19" i="1"/>
  <c r="E20" i="1"/>
  <c r="E21" i="1"/>
  <c r="E22" i="1"/>
  <c r="E23" i="1"/>
  <c r="E24" i="1"/>
  <c r="E25" i="1"/>
  <c r="E19" i="1"/>
  <c r="M5" i="5"/>
  <c r="L5" i="5"/>
  <c r="K5" i="5"/>
  <c r="J5" i="5"/>
  <c r="I5" i="5"/>
  <c r="H5" i="5"/>
  <c r="F5" i="5"/>
  <c r="E5" i="5"/>
  <c r="D5" i="5"/>
  <c r="Y6" i="3"/>
  <c r="X6" i="3"/>
  <c r="W6" i="3"/>
  <c r="V6" i="3"/>
  <c r="U6" i="3"/>
  <c r="T6" i="3"/>
  <c r="R6" i="3"/>
  <c r="Q6" i="3"/>
  <c r="P6" i="3"/>
  <c r="C12" i="2"/>
  <c r="D12" i="2"/>
  <c r="K19" i="2"/>
  <c r="L29" i="2" s="1"/>
  <c r="K18" i="2"/>
  <c r="L28" i="2" s="1"/>
  <c r="K17" i="2"/>
  <c r="L27" i="2" s="1"/>
  <c r="K16" i="2"/>
  <c r="L26" i="2" s="1"/>
  <c r="K15" i="2"/>
  <c r="G13" i="2"/>
  <c r="H17" i="2"/>
  <c r="G11" i="1" s="1"/>
  <c r="H19" i="2"/>
  <c r="G13" i="1" s="1"/>
  <c r="H20" i="2"/>
  <c r="G14" i="1" s="1"/>
  <c r="N18" i="1" l="1"/>
  <c r="K20" i="2"/>
  <c r="L30" i="2" s="1"/>
  <c r="L25" i="2"/>
  <c r="D22" i="2"/>
  <c r="D23" i="2"/>
  <c r="G43" i="2"/>
  <c r="G53" i="2" s="1"/>
  <c r="G41" i="2"/>
  <c r="G51" i="2" s="1"/>
  <c r="G40" i="2"/>
  <c r="G50" i="2" s="1"/>
  <c r="C11" i="1" l="1"/>
  <c r="C12" i="1"/>
  <c r="C13" i="1"/>
  <c r="C15" i="1"/>
  <c r="C16" i="1"/>
  <c r="C17" i="1"/>
  <c r="C18" i="1"/>
  <c r="C10" i="1"/>
  <c r="G18" i="2" l="1"/>
  <c r="D27" i="2"/>
  <c r="D26" i="2"/>
  <c r="D25" i="2"/>
  <c r="D24" i="2"/>
  <c r="D21" i="2"/>
  <c r="D20" i="2"/>
  <c r="D19" i="2"/>
  <c r="D18" i="2"/>
  <c r="M29" i="2"/>
  <c r="N29" i="2" s="1"/>
  <c r="O19" i="2" l="1"/>
  <c r="O17" i="2"/>
  <c r="O18" i="2"/>
  <c r="M26" i="2"/>
  <c r="M27" i="2"/>
  <c r="N27" i="2" s="1"/>
  <c r="M25" i="2"/>
  <c r="M28" i="2"/>
  <c r="N28" i="2" s="1"/>
  <c r="C14" i="1"/>
  <c r="G42" i="2"/>
  <c r="G52" i="2" s="1"/>
  <c r="G55" i="2" s="1"/>
  <c r="O16" i="2"/>
  <c r="O28" i="2" l="1"/>
  <c r="P28" i="2" s="1"/>
  <c r="Q28" i="2" s="1"/>
  <c r="R28" i="2" s="1"/>
  <c r="S28" i="2" s="1"/>
  <c r="T28" i="2" s="1"/>
  <c r="U28" i="2" s="1"/>
  <c r="V28" i="2" s="1"/>
  <c r="O20" i="2"/>
  <c r="O29" i="2"/>
  <c r="P29" i="2" s="1"/>
  <c r="Q29" i="2" s="1"/>
  <c r="R29" i="2" s="1"/>
  <c r="S29" i="2" s="1"/>
  <c r="T29" i="2" s="1"/>
  <c r="U29" i="2" s="1"/>
  <c r="V29" i="2" s="1"/>
  <c r="N26" i="2"/>
  <c r="O26" i="2" s="1"/>
  <c r="P26" i="2" s="1"/>
  <c r="Q26" i="2" s="1"/>
  <c r="R26" i="2" s="1"/>
  <c r="S26" i="2" s="1"/>
  <c r="T26" i="2" s="1"/>
  <c r="U26" i="2" s="1"/>
  <c r="V26" i="2" s="1"/>
  <c r="N25" i="2"/>
  <c r="O25" i="2" s="1"/>
  <c r="P25" i="2" s="1"/>
  <c r="Q25" i="2" s="1"/>
  <c r="R25" i="2" s="1"/>
  <c r="S25" i="2" s="1"/>
  <c r="T25" i="2" s="1"/>
  <c r="U25" i="2" s="1"/>
  <c r="V25" i="2" s="1"/>
  <c r="O27" i="2"/>
  <c r="P27" i="2" s="1"/>
  <c r="Q27" i="2" s="1"/>
  <c r="R27" i="2" s="1"/>
  <c r="S27" i="2" s="1"/>
  <c r="T27" i="2" s="1"/>
  <c r="U27" i="2" s="1"/>
  <c r="V27" i="2" s="1"/>
  <c r="H13" i="2"/>
  <c r="M30" i="2" l="1"/>
  <c r="N30" i="2" s="1"/>
  <c r="J8" i="1"/>
  <c r="J7" i="1"/>
  <c r="Q18" i="4"/>
  <c r="Q31" i="4"/>
  <c r="Q57" i="4"/>
  <c r="Q70" i="4"/>
  <c r="P15" i="3"/>
  <c r="Q15" i="3"/>
  <c r="T15" i="3"/>
  <c r="U15" i="3"/>
  <c r="V15" i="3"/>
  <c r="W15" i="3"/>
  <c r="X15" i="3"/>
  <c r="Y15" i="3"/>
  <c r="O30" i="2" l="1"/>
  <c r="P30" i="2" s="1"/>
  <c r="Q30" i="2" s="1"/>
  <c r="R30" i="2" s="1"/>
  <c r="S30" i="2" s="1"/>
  <c r="T30" i="2" s="1"/>
  <c r="U30" i="2" s="1"/>
  <c r="V30" i="2" s="1"/>
  <c r="Q44" i="4"/>
  <c r="K30" i="2" l="1"/>
  <c r="F18" i="4" l="1"/>
  <c r="H17" i="3"/>
  <c r="H20" i="3"/>
  <c r="F70" i="4"/>
  <c r="P57" i="4"/>
  <c r="P58" i="4" s="1"/>
  <c r="P59" i="4" s="1"/>
  <c r="P60" i="4" s="1"/>
  <c r="F57" i="4"/>
  <c r="F44" i="4"/>
  <c r="F31" i="4"/>
  <c r="Q19" i="4"/>
  <c r="Q20" i="4" s="1"/>
  <c r="Q21" i="4" s="1"/>
  <c r="G31" i="4"/>
  <c r="H31" i="4"/>
  <c r="H32" i="4" s="1"/>
  <c r="H33" i="4" s="1"/>
  <c r="H34" i="4" s="1"/>
  <c r="I31" i="4"/>
  <c r="J31" i="4"/>
  <c r="K31" i="4"/>
  <c r="L31" i="4"/>
  <c r="L32" i="4" s="1"/>
  <c r="M31" i="4"/>
  <c r="N31" i="4"/>
  <c r="O31" i="4"/>
  <c r="P31" i="4"/>
  <c r="P32" i="4" s="1"/>
  <c r="P33" i="4" s="1"/>
  <c r="P34" i="4" s="1"/>
  <c r="G44" i="4"/>
  <c r="H44" i="4"/>
  <c r="H45" i="4" s="1"/>
  <c r="H46" i="4" s="1"/>
  <c r="I44" i="4"/>
  <c r="J44" i="4"/>
  <c r="K44" i="4"/>
  <c r="L44" i="4"/>
  <c r="L45" i="4" s="1"/>
  <c r="L46" i="4" s="1"/>
  <c r="L47" i="4" s="1"/>
  <c r="M44" i="4"/>
  <c r="N44" i="4"/>
  <c r="O44" i="4"/>
  <c r="P44" i="4"/>
  <c r="P45" i="4" s="1"/>
  <c r="G57" i="4"/>
  <c r="H57" i="4"/>
  <c r="H58" i="4" s="1"/>
  <c r="H59" i="4" s="1"/>
  <c r="H60" i="4" s="1"/>
  <c r="I57" i="4"/>
  <c r="J57" i="4"/>
  <c r="K57" i="4"/>
  <c r="L57" i="4"/>
  <c r="L58" i="4" s="1"/>
  <c r="L59" i="4" s="1"/>
  <c r="L60" i="4" s="1"/>
  <c r="M57" i="4"/>
  <c r="N57" i="4"/>
  <c r="O57" i="4"/>
  <c r="G70" i="4"/>
  <c r="H70" i="4"/>
  <c r="I70" i="4"/>
  <c r="J70" i="4"/>
  <c r="K70" i="4"/>
  <c r="L70" i="4"/>
  <c r="M70" i="4"/>
  <c r="N70" i="4"/>
  <c r="O70" i="4"/>
  <c r="P70" i="4"/>
  <c r="G18" i="4"/>
  <c r="G19" i="4" s="1"/>
  <c r="H18" i="4"/>
  <c r="I18" i="4"/>
  <c r="J18" i="4"/>
  <c r="L18" i="4"/>
  <c r="M18" i="4"/>
  <c r="N18" i="4"/>
  <c r="O18" i="4"/>
  <c r="P18" i="4"/>
  <c r="K18" i="4"/>
  <c r="F32" i="4" l="1"/>
  <c r="F33" i="4" s="1"/>
  <c r="F34" i="4" s="1"/>
  <c r="F75" i="4"/>
  <c r="F71" i="4"/>
  <c r="F72" i="4" s="1"/>
  <c r="F73" i="4" s="1"/>
  <c r="F19" i="4"/>
  <c r="F20" i="4" s="1"/>
  <c r="F23" i="4"/>
  <c r="F22" i="4"/>
  <c r="F62" i="4"/>
  <c r="F58" i="4"/>
  <c r="F59" i="4" s="1"/>
  <c r="F49" i="4"/>
  <c r="F45" i="4"/>
  <c r="F46" i="4" s="1"/>
  <c r="F47" i="4" s="1"/>
  <c r="F36" i="4"/>
  <c r="F5" i="4"/>
  <c r="F48" i="4"/>
  <c r="F61" i="4"/>
  <c r="F74" i="4"/>
  <c r="F35" i="4"/>
  <c r="P71" i="4"/>
  <c r="P72" i="4" s="1"/>
  <c r="P73" i="4" s="1"/>
  <c r="P75" i="4"/>
  <c r="P74" i="4"/>
  <c r="M23" i="4"/>
  <c r="M22" i="4"/>
  <c r="M19" i="4"/>
  <c r="M20" i="4" s="1"/>
  <c r="M5" i="4"/>
  <c r="L71" i="4"/>
  <c r="L72" i="4" s="1"/>
  <c r="L73" i="4" s="1"/>
  <c r="L75" i="4"/>
  <c r="L74" i="4"/>
  <c r="H71" i="4"/>
  <c r="H72" i="4" s="1"/>
  <c r="H73" i="4" s="1"/>
  <c r="H75" i="4"/>
  <c r="H74" i="4"/>
  <c r="I23" i="4"/>
  <c r="I22" i="4"/>
  <c r="I19" i="4"/>
  <c r="I20" i="4" s="1"/>
  <c r="I21" i="4" s="1"/>
  <c r="I5" i="4"/>
  <c r="K19" i="4"/>
  <c r="K5" i="4"/>
  <c r="K23" i="4"/>
  <c r="K22" i="4"/>
  <c r="P19" i="4"/>
  <c r="P20" i="4" s="1"/>
  <c r="P5" i="4"/>
  <c r="G5" i="4"/>
  <c r="G20" i="4"/>
  <c r="G21" i="4" s="1"/>
  <c r="G23" i="4"/>
  <c r="G22" i="4"/>
  <c r="K75" i="4"/>
  <c r="K74" i="4"/>
  <c r="K71" i="4"/>
  <c r="K72" i="4" s="1"/>
  <c r="K73" i="4" s="1"/>
  <c r="M62" i="4"/>
  <c r="M61" i="4"/>
  <c r="M58" i="4"/>
  <c r="M59" i="4" s="1"/>
  <c r="M60" i="4" s="1"/>
  <c r="M49" i="4"/>
  <c r="M48" i="4"/>
  <c r="M45" i="4"/>
  <c r="M46" i="4" s="1"/>
  <c r="M47" i="4" s="1"/>
  <c r="I49" i="4"/>
  <c r="I48" i="4"/>
  <c r="I45" i="4"/>
  <c r="I46" i="4" s="1"/>
  <c r="I47" i="4" s="1"/>
  <c r="K36" i="4"/>
  <c r="K35" i="4"/>
  <c r="K32" i="4"/>
  <c r="K33" i="4" s="1"/>
  <c r="K34" i="4" s="1"/>
  <c r="Q75" i="4"/>
  <c r="Q74" i="4"/>
  <c r="Q71" i="4"/>
  <c r="Q72" i="4" s="1"/>
  <c r="Q73" i="4" s="1"/>
  <c r="M36" i="4"/>
  <c r="M35" i="4"/>
  <c r="M32" i="4"/>
  <c r="M33" i="4" s="1"/>
  <c r="O19" i="4"/>
  <c r="O5" i="4"/>
  <c r="O23" i="4"/>
  <c r="O22" i="4"/>
  <c r="J19" i="4"/>
  <c r="J20" i="4" s="1"/>
  <c r="J5" i="4"/>
  <c r="J23" i="4"/>
  <c r="J22" i="4"/>
  <c r="N71" i="4"/>
  <c r="N72" i="4" s="1"/>
  <c r="N73" i="4" s="1"/>
  <c r="N75" i="4"/>
  <c r="N74" i="4"/>
  <c r="J71" i="4"/>
  <c r="J72" i="4" s="1"/>
  <c r="J73" i="4" s="1"/>
  <c r="J75" i="4"/>
  <c r="J74" i="4"/>
  <c r="N32" i="4"/>
  <c r="N33" i="4" s="1"/>
  <c r="N34" i="4" s="1"/>
  <c r="N36" i="4"/>
  <c r="N35" i="4"/>
  <c r="J32" i="4"/>
  <c r="J33" i="4" s="1"/>
  <c r="J34" i="4" s="1"/>
  <c r="J36" i="4"/>
  <c r="J35" i="4"/>
  <c r="Q62" i="4"/>
  <c r="Q61" i="4"/>
  <c r="Q58" i="4"/>
  <c r="Q59" i="4" s="1"/>
  <c r="Q60" i="4" s="1"/>
  <c r="I36" i="4"/>
  <c r="I35" i="4"/>
  <c r="I32" i="4"/>
  <c r="I33" i="4" s="1"/>
  <c r="P22" i="4"/>
  <c r="H35" i="4"/>
  <c r="H48" i="4"/>
  <c r="H61" i="4"/>
  <c r="P23" i="4"/>
  <c r="H36" i="4"/>
  <c r="H49" i="4"/>
  <c r="H62" i="4"/>
  <c r="Q5" i="4"/>
  <c r="H19" i="4"/>
  <c r="H20" i="4" s="1"/>
  <c r="H21" i="4" s="1"/>
  <c r="H5" i="4"/>
  <c r="N58" i="4"/>
  <c r="N59" i="4" s="1"/>
  <c r="N62" i="4"/>
  <c r="N61" i="4"/>
  <c r="N45" i="4"/>
  <c r="N46" i="4" s="1"/>
  <c r="N47" i="4" s="1"/>
  <c r="N49" i="4"/>
  <c r="N48" i="4"/>
  <c r="L19" i="4"/>
  <c r="L20" i="4" s="1"/>
  <c r="L5" i="4"/>
  <c r="O75" i="4"/>
  <c r="O74" i="4"/>
  <c r="O71" i="4"/>
  <c r="O72" i="4" s="1"/>
  <c r="O73" i="4" s="1"/>
  <c r="G75" i="4"/>
  <c r="G74" i="4"/>
  <c r="G71" i="4"/>
  <c r="G72" i="4" s="1"/>
  <c r="G73" i="4" s="1"/>
  <c r="I62" i="4"/>
  <c r="I61" i="4"/>
  <c r="I58" i="4"/>
  <c r="I59" i="4" s="1"/>
  <c r="I60" i="4" s="1"/>
  <c r="O36" i="4"/>
  <c r="O35" i="4"/>
  <c r="O32" i="4"/>
  <c r="O33" i="4" s="1"/>
  <c r="O34" i="4" s="1"/>
  <c r="N19" i="4"/>
  <c r="N5" i="4"/>
  <c r="N23" i="4"/>
  <c r="N22" i="4"/>
  <c r="M75" i="4"/>
  <c r="M74" i="4"/>
  <c r="M71" i="4"/>
  <c r="M72" i="4" s="1"/>
  <c r="M73" i="4" s="1"/>
  <c r="I75" i="4"/>
  <c r="I74" i="4"/>
  <c r="O62" i="4"/>
  <c r="O61" i="4"/>
  <c r="O58" i="4"/>
  <c r="O59" i="4" s="1"/>
  <c r="O60" i="4" s="1"/>
  <c r="K62" i="4"/>
  <c r="K61" i="4"/>
  <c r="K58" i="4"/>
  <c r="K59" i="4" s="1"/>
  <c r="K60" i="4" s="1"/>
  <c r="G62" i="4"/>
  <c r="G61" i="4"/>
  <c r="G58" i="4"/>
  <c r="G59" i="4" s="1"/>
  <c r="G60" i="4" s="1"/>
  <c r="O49" i="4"/>
  <c r="O48" i="4"/>
  <c r="O45" i="4"/>
  <c r="O46" i="4" s="1"/>
  <c r="O47" i="4" s="1"/>
  <c r="K49" i="4"/>
  <c r="K48" i="4"/>
  <c r="K45" i="4"/>
  <c r="K46" i="4" s="1"/>
  <c r="K47" i="4" s="1"/>
  <c r="G49" i="4"/>
  <c r="G48" i="4"/>
  <c r="G45" i="4"/>
  <c r="G46" i="4" s="1"/>
  <c r="G47" i="4" s="1"/>
  <c r="L22" i="4"/>
  <c r="L35" i="4"/>
  <c r="L48" i="4"/>
  <c r="L61" i="4"/>
  <c r="L23" i="4"/>
  <c r="L36" i="4"/>
  <c r="L49" i="4"/>
  <c r="L62" i="4"/>
  <c r="J58" i="4"/>
  <c r="J59" i="4" s="1"/>
  <c r="J62" i="4"/>
  <c r="J61" i="4"/>
  <c r="J45" i="4"/>
  <c r="J46" i="4" s="1"/>
  <c r="J47" i="4" s="1"/>
  <c r="J49" i="4"/>
  <c r="J48" i="4"/>
  <c r="Q49" i="4"/>
  <c r="Q48" i="4"/>
  <c r="Q45" i="4"/>
  <c r="Q46" i="4" s="1"/>
  <c r="Q47" i="4" s="1"/>
  <c r="Q23" i="4"/>
  <c r="Q22" i="4"/>
  <c r="Q36" i="4"/>
  <c r="Q35" i="4"/>
  <c r="Q32" i="4"/>
  <c r="Q33" i="4" s="1"/>
  <c r="H22" i="4"/>
  <c r="P35" i="4"/>
  <c r="P48" i="4"/>
  <c r="P61" i="4"/>
  <c r="H23" i="4"/>
  <c r="P36" i="4"/>
  <c r="P49" i="4"/>
  <c r="P62" i="4"/>
  <c r="G36" i="4"/>
  <c r="G35" i="4"/>
  <c r="G32" i="4"/>
  <c r="G33" i="4" s="1"/>
  <c r="G34" i="4" s="1"/>
  <c r="I71" i="4"/>
  <c r="I72" i="4" s="1"/>
  <c r="I73" i="4" s="1"/>
  <c r="L33" i="4"/>
  <c r="L34" i="4" s="1"/>
  <c r="P46" i="4"/>
  <c r="P47" i="4" s="1"/>
  <c r="H47" i="4"/>
  <c r="H22" i="2"/>
  <c r="G16" i="1" s="1"/>
  <c r="H16" i="2"/>
  <c r="G10" i="1" s="1"/>
  <c r="H14" i="2"/>
  <c r="G8" i="1" s="1"/>
  <c r="G5" i="2" l="1"/>
  <c r="G8" i="2"/>
  <c r="F24" i="1" s="1"/>
  <c r="G6" i="2"/>
  <c r="F22" i="1" s="1"/>
  <c r="G7" i="2"/>
  <c r="F23" i="1" s="1"/>
  <c r="G4" i="2"/>
  <c r="F20" i="1" s="1"/>
  <c r="L6" i="4"/>
  <c r="F10" i="4"/>
  <c r="F21" i="4"/>
  <c r="F24" i="4" s="1"/>
  <c r="H24" i="4"/>
  <c r="P37" i="4"/>
  <c r="G8" i="4"/>
  <c r="F37" i="4"/>
  <c r="K50" i="4"/>
  <c r="I63" i="4"/>
  <c r="F60" i="4"/>
  <c r="F63" i="4" s="1"/>
  <c r="L63" i="4"/>
  <c r="H37" i="4"/>
  <c r="I6" i="4"/>
  <c r="J7" i="4"/>
  <c r="L21" i="4"/>
  <c r="L8" i="4" s="1"/>
  <c r="H50" i="4"/>
  <c r="H7" i="4"/>
  <c r="F6" i="4"/>
  <c r="H6" i="4"/>
  <c r="J37" i="4"/>
  <c r="J60" i="4"/>
  <c r="J63" i="4" s="1"/>
  <c r="I76" i="4"/>
  <c r="Q7" i="4"/>
  <c r="Q10" i="4"/>
  <c r="Q63" i="4"/>
  <c r="I50" i="4"/>
  <c r="M50" i="4"/>
  <c r="I34" i="4"/>
  <c r="I8" i="4" s="1"/>
  <c r="N60" i="4"/>
  <c r="N63" i="4" s="1"/>
  <c r="G10" i="4"/>
  <c r="O63" i="4"/>
  <c r="N50" i="4"/>
  <c r="N76" i="4"/>
  <c r="G24" i="4"/>
  <c r="M9" i="4"/>
  <c r="P76" i="4"/>
  <c r="F50" i="4"/>
  <c r="L37" i="4"/>
  <c r="M21" i="4"/>
  <c r="M24" i="4" s="1"/>
  <c r="F7" i="4"/>
  <c r="I24" i="4"/>
  <c r="F76" i="4"/>
  <c r="P21" i="4"/>
  <c r="P8" i="4" s="1"/>
  <c r="Q24" i="4"/>
  <c r="M6" i="4"/>
  <c r="P6" i="4"/>
  <c r="F9" i="4"/>
  <c r="I37" i="4"/>
  <c r="G37" i="4"/>
  <c r="I10" i="4"/>
  <c r="N37" i="4"/>
  <c r="J76" i="4"/>
  <c r="Q9" i="4"/>
  <c r="M63" i="4"/>
  <c r="K76" i="4"/>
  <c r="L76" i="4"/>
  <c r="M10" i="4"/>
  <c r="H9" i="4"/>
  <c r="Q50" i="4"/>
  <c r="L50" i="4"/>
  <c r="O37" i="4"/>
  <c r="G76" i="4"/>
  <c r="O76" i="4"/>
  <c r="P63" i="4"/>
  <c r="O50" i="4"/>
  <c r="G63" i="4"/>
  <c r="I9" i="4"/>
  <c r="M76" i="4"/>
  <c r="N6" i="4"/>
  <c r="H63" i="4"/>
  <c r="M7" i="4"/>
  <c r="M34" i="4"/>
  <c r="M37" i="4" s="1"/>
  <c r="P9" i="4"/>
  <c r="O9" i="4"/>
  <c r="N20" i="4"/>
  <c r="N7" i="4" s="1"/>
  <c r="J6" i="4"/>
  <c r="P50" i="4"/>
  <c r="G7" i="4"/>
  <c r="G9" i="4"/>
  <c r="L10" i="4"/>
  <c r="L9" i="4"/>
  <c r="N9" i="4"/>
  <c r="J10" i="4"/>
  <c r="O10" i="4"/>
  <c r="H76" i="4"/>
  <c r="P10" i="4"/>
  <c r="J9" i="4"/>
  <c r="K10" i="4"/>
  <c r="Q34" i="4"/>
  <c r="Q37" i="4" s="1"/>
  <c r="I7" i="4"/>
  <c r="G6" i="4"/>
  <c r="Q76" i="4"/>
  <c r="H10" i="4"/>
  <c r="G50" i="4"/>
  <c r="K63" i="4"/>
  <c r="N10" i="4"/>
  <c r="K37" i="4"/>
  <c r="K6" i="4"/>
  <c r="K20" i="4"/>
  <c r="H8" i="4"/>
  <c r="Q6" i="4"/>
  <c r="J50" i="4"/>
  <c r="L7" i="4"/>
  <c r="O6" i="4"/>
  <c r="O20" i="4"/>
  <c r="K9" i="4"/>
  <c r="J21" i="4"/>
  <c r="P7" i="4"/>
  <c r="K6" i="2" l="1"/>
  <c r="F21" i="1"/>
  <c r="H5" i="2"/>
  <c r="G21" i="1" s="1"/>
  <c r="O6" i="2"/>
  <c r="K12" i="3"/>
  <c r="K5" i="2"/>
  <c r="O5" i="2"/>
  <c r="K8" i="2"/>
  <c r="O8" i="2"/>
  <c r="K7" i="2"/>
  <c r="O7" i="2"/>
  <c r="K15" i="3"/>
  <c r="K9" i="2"/>
  <c r="O9" i="2"/>
  <c r="H6" i="2"/>
  <c r="G22" i="1" s="1"/>
  <c r="K13" i="3"/>
  <c r="K11" i="3"/>
  <c r="H4" i="2"/>
  <c r="G20" i="1" s="1"/>
  <c r="G9" i="2"/>
  <c r="H7" i="2"/>
  <c r="G23" i="1" s="1"/>
  <c r="K14" i="3"/>
  <c r="Q8" i="4"/>
  <c r="F8" i="4"/>
  <c r="J8" i="4"/>
  <c r="N21" i="4"/>
  <c r="N8" i="4" s="1"/>
  <c r="L24" i="4"/>
  <c r="L11" i="4" s="1"/>
  <c r="I11" i="4"/>
  <c r="F11" i="4"/>
  <c r="Q11" i="4"/>
  <c r="P24" i="4"/>
  <c r="P11" i="4" s="1"/>
  <c r="H11" i="4"/>
  <c r="G11" i="4"/>
  <c r="H6" i="3" s="1"/>
  <c r="H7" i="3" s="1"/>
  <c r="H8" i="3" s="1"/>
  <c r="M8" i="4"/>
  <c r="K21" i="4"/>
  <c r="K7" i="4"/>
  <c r="J24" i="4"/>
  <c r="J11" i="4" s="1"/>
  <c r="O21" i="4"/>
  <c r="O7" i="4"/>
  <c r="M11" i="4"/>
  <c r="H9" i="2" l="1"/>
  <c r="F25" i="1"/>
  <c r="O10" i="2"/>
  <c r="S6" i="3" s="1"/>
  <c r="K10" i="2"/>
  <c r="O6" i="3" s="1"/>
  <c r="K16" i="3"/>
  <c r="L12" i="3" s="1"/>
  <c r="N24" i="4"/>
  <c r="N11" i="4" s="1"/>
  <c r="H19" i="3"/>
  <c r="H18" i="3" s="1"/>
  <c r="H21" i="3" s="1"/>
  <c r="K24" i="4"/>
  <c r="K8" i="4"/>
  <c r="O24" i="4"/>
  <c r="O8" i="4"/>
  <c r="G25" i="1" l="1"/>
  <c r="C28" i="1"/>
  <c r="R15" i="3"/>
  <c r="L16" i="3"/>
  <c r="L11" i="3"/>
  <c r="L14" i="3"/>
  <c r="L13" i="3"/>
  <c r="O11" i="4"/>
  <c r="K11" i="4"/>
  <c r="C4" i="3" l="1"/>
  <c r="H12" i="3"/>
  <c r="H13" i="3" s="1"/>
  <c r="L5" i="3" s="1"/>
  <c r="D4" i="3" l="1"/>
  <c r="K12" i="1" s="1"/>
  <c r="J12" i="1"/>
  <c r="S9" i="3"/>
  <c r="O9" i="3"/>
  <c r="J6" i="1"/>
  <c r="L7" i="3"/>
  <c r="O17" i="3" s="1"/>
  <c r="C5" i="3"/>
  <c r="J13" i="1" s="1"/>
  <c r="S10" i="3" l="1"/>
  <c r="O10" i="3"/>
  <c r="D5" i="3"/>
  <c r="K13" i="1" s="1"/>
  <c r="C6" i="3"/>
  <c r="J14" i="1" s="1"/>
  <c r="O15" i="3" l="1"/>
  <c r="O16" i="3" s="1"/>
  <c r="O19" i="3" s="1"/>
  <c r="G26" i="2" s="1"/>
  <c r="C31" i="1"/>
  <c r="S15" i="3"/>
  <c r="C34" i="1"/>
  <c r="S11" i="3"/>
  <c r="O11" i="3"/>
  <c r="D6" i="3"/>
  <c r="K14" i="1" s="1"/>
  <c r="F51" i="4"/>
  <c r="F52" i="4" s="1"/>
  <c r="F38" i="4"/>
  <c r="F39" i="4" s="1"/>
  <c r="F25" i="4"/>
  <c r="F64" i="4"/>
  <c r="F65" i="4" s="1"/>
  <c r="O23" i="3"/>
  <c r="P16" i="3"/>
  <c r="Q16" i="3" s="1"/>
  <c r="R16" i="3" s="1"/>
  <c r="C7" i="3"/>
  <c r="O20" i="3" l="1"/>
  <c r="S16" i="3"/>
  <c r="T16" i="3" s="1"/>
  <c r="U16" i="3" s="1"/>
  <c r="V16" i="3" s="1"/>
  <c r="W16" i="3" s="1"/>
  <c r="X16" i="3" s="1"/>
  <c r="Y16" i="3" s="1"/>
  <c r="D7" i="3"/>
  <c r="K15" i="1" s="1"/>
  <c r="J15" i="1"/>
  <c r="C5" i="5"/>
  <c r="C32" i="1"/>
  <c r="C37" i="1"/>
  <c r="G5" i="5"/>
  <c r="C35" i="1"/>
  <c r="O18" i="3"/>
  <c r="H8" i="2"/>
  <c r="G24" i="1" s="1"/>
  <c r="L15" i="3"/>
  <c r="F77" i="4" s="1"/>
  <c r="F78" i="4" s="1"/>
  <c r="P17" i="3"/>
  <c r="P14" i="3"/>
  <c r="F26" i="4"/>
  <c r="C38" i="1" l="1"/>
  <c r="F12" i="4"/>
  <c r="P19" i="3"/>
  <c r="G27" i="2" s="1"/>
  <c r="P20" i="3"/>
  <c r="G51" i="4"/>
  <c r="G52" i="4" s="1"/>
  <c r="G38" i="4"/>
  <c r="G39" i="4" s="1"/>
  <c r="G25" i="4"/>
  <c r="G64" i="4"/>
  <c r="G65" i="4" s="1"/>
  <c r="G77" i="4"/>
  <c r="G78" i="4" s="1"/>
  <c r="P23" i="3"/>
  <c r="F13" i="4"/>
  <c r="C6" i="5" s="1"/>
  <c r="O24" i="3" s="1"/>
  <c r="O25" i="3" s="1"/>
  <c r="P3" i="5"/>
  <c r="Q6" i="1" s="1"/>
  <c r="G26" i="4" l="1"/>
  <c r="G12" i="4"/>
  <c r="P18" i="3"/>
  <c r="Q17" i="3"/>
  <c r="Q14" i="3"/>
  <c r="C7" i="5" l="1"/>
  <c r="H51" i="4"/>
  <c r="H52" i="4" s="1"/>
  <c r="H64" i="4"/>
  <c r="H65" i="4" s="1"/>
  <c r="H77" i="4"/>
  <c r="H78" i="4" s="1"/>
  <c r="H38" i="4"/>
  <c r="H39" i="4" s="1"/>
  <c r="H25" i="4"/>
  <c r="Q23" i="3"/>
  <c r="G13" i="4"/>
  <c r="D6" i="5" s="1"/>
  <c r="P24" i="3" s="1"/>
  <c r="P25" i="3" s="1"/>
  <c r="Q19" i="3"/>
  <c r="G28" i="2" s="1"/>
  <c r="Q20" i="3"/>
  <c r="C8" i="5" l="1"/>
  <c r="H12" i="4"/>
  <c r="H26" i="4"/>
  <c r="R17" i="3"/>
  <c r="R14" i="3"/>
  <c r="Q18" i="3"/>
  <c r="D7" i="5" l="1"/>
  <c r="H13" i="4"/>
  <c r="E6" i="5" s="1"/>
  <c r="Q24" i="3" s="1"/>
  <c r="Q25" i="3" s="1"/>
  <c r="R19" i="3"/>
  <c r="G29" i="2" s="1"/>
  <c r="R20" i="3"/>
  <c r="I51" i="4"/>
  <c r="I52" i="4" s="1"/>
  <c r="I64" i="4"/>
  <c r="I65" i="4" s="1"/>
  <c r="I77" i="4"/>
  <c r="I78" i="4" s="1"/>
  <c r="I38" i="4"/>
  <c r="I39" i="4" s="1"/>
  <c r="I25" i="4"/>
  <c r="R23" i="3"/>
  <c r="D8" i="5" l="1"/>
  <c r="R18" i="3"/>
  <c r="I12" i="4"/>
  <c r="I26" i="4"/>
  <c r="S17" i="3"/>
  <c r="S14" i="3"/>
  <c r="E7" i="5" l="1"/>
  <c r="I13" i="4"/>
  <c r="F6" i="5" s="1"/>
  <c r="R24" i="3" s="1"/>
  <c r="R25" i="3" s="1"/>
  <c r="S19" i="3"/>
  <c r="G30" i="2" s="1"/>
  <c r="S20" i="3"/>
  <c r="J25" i="4"/>
  <c r="J51" i="4"/>
  <c r="J52" i="4" s="1"/>
  <c r="J38" i="4"/>
  <c r="J39" i="4" s="1"/>
  <c r="J77" i="4"/>
  <c r="J78" i="4" s="1"/>
  <c r="S23" i="3"/>
  <c r="J64" i="4"/>
  <c r="J65" i="4" s="1"/>
  <c r="E8" i="5" l="1"/>
  <c r="T14" i="3"/>
  <c r="T17" i="3"/>
  <c r="S18" i="3"/>
  <c r="J26" i="4"/>
  <c r="J12" i="4"/>
  <c r="F7" i="5" l="1"/>
  <c r="F8" i="5" s="1"/>
  <c r="T20" i="3"/>
  <c r="T19" i="3"/>
  <c r="G31" i="2" s="1"/>
  <c r="K51" i="4"/>
  <c r="K52" i="4" s="1"/>
  <c r="K38" i="4"/>
  <c r="K39" i="4" s="1"/>
  <c r="K64" i="4"/>
  <c r="K65" i="4" s="1"/>
  <c r="T23" i="3"/>
  <c r="K25" i="4"/>
  <c r="K77" i="4"/>
  <c r="K78" i="4" s="1"/>
  <c r="J13" i="4"/>
  <c r="G6" i="5" s="1"/>
  <c r="S24" i="3" s="1"/>
  <c r="S25" i="3" s="1"/>
  <c r="T18" i="3" l="1"/>
  <c r="K12" i="4"/>
  <c r="K26" i="4"/>
  <c r="U17" i="3"/>
  <c r="U14" i="3"/>
  <c r="G7" i="5" l="1"/>
  <c r="G8" i="5" s="1"/>
  <c r="L51" i="4"/>
  <c r="L52" i="4" s="1"/>
  <c r="L38" i="4"/>
  <c r="L39" i="4" s="1"/>
  <c r="L77" i="4"/>
  <c r="L78" i="4" s="1"/>
  <c r="L64" i="4"/>
  <c r="L65" i="4" s="1"/>
  <c r="L25" i="4"/>
  <c r="U23" i="3"/>
  <c r="U19" i="3"/>
  <c r="G32" i="2" s="1"/>
  <c r="U20" i="3"/>
  <c r="K13" i="4"/>
  <c r="H6" i="5" s="1"/>
  <c r="T24" i="3" s="1"/>
  <c r="T25" i="3" s="1"/>
  <c r="U18" i="3" l="1"/>
  <c r="L12" i="4"/>
  <c r="L26" i="4"/>
  <c r="V17" i="3"/>
  <c r="V14" i="3"/>
  <c r="H7" i="5" l="1"/>
  <c r="H8" i="5" s="1"/>
  <c r="V20" i="3"/>
  <c r="V19" i="3"/>
  <c r="G33" i="2" s="1"/>
  <c r="L13" i="4"/>
  <c r="I6" i="5" s="1"/>
  <c r="U24" i="3" s="1"/>
  <c r="U25" i="3" s="1"/>
  <c r="M38" i="4"/>
  <c r="M39" i="4" s="1"/>
  <c r="M64" i="4"/>
  <c r="M65" i="4" s="1"/>
  <c r="M51" i="4"/>
  <c r="M52" i="4" s="1"/>
  <c r="V23" i="3"/>
  <c r="M25" i="4"/>
  <c r="M77" i="4"/>
  <c r="M78" i="4" s="1"/>
  <c r="V18" i="3" l="1"/>
  <c r="M26" i="4"/>
  <c r="M12" i="4"/>
  <c r="W17" i="3"/>
  <c r="W14" i="3"/>
  <c r="I7" i="5" l="1"/>
  <c r="I8" i="5" s="1"/>
  <c r="W20" i="3"/>
  <c r="W19" i="3"/>
  <c r="G34" i="2" s="1"/>
  <c r="N77" i="4"/>
  <c r="N78" i="4" s="1"/>
  <c r="W23" i="3"/>
  <c r="N64" i="4"/>
  <c r="N65" i="4" s="1"/>
  <c r="N38" i="4"/>
  <c r="N39" i="4" s="1"/>
  <c r="N51" i="4"/>
  <c r="N52" i="4" s="1"/>
  <c r="N25" i="4"/>
  <c r="M13" i="4"/>
  <c r="J6" i="5" s="1"/>
  <c r="V24" i="3" s="1"/>
  <c r="V25" i="3" s="1"/>
  <c r="W18" i="3" l="1"/>
  <c r="N12" i="4"/>
  <c r="N26" i="4"/>
  <c r="X17" i="3"/>
  <c r="X14" i="3"/>
  <c r="J7" i="5" l="1"/>
  <c r="J8" i="5" s="1"/>
  <c r="X19" i="3"/>
  <c r="G35" i="2" s="1"/>
  <c r="N13" i="4"/>
  <c r="K6" i="5" s="1"/>
  <c r="W24" i="3" s="1"/>
  <c r="W25" i="3" s="1"/>
  <c r="O77" i="4"/>
  <c r="O78" i="4" s="1"/>
  <c r="O38" i="4"/>
  <c r="O39" i="4" s="1"/>
  <c r="O51" i="4"/>
  <c r="O52" i="4" s="1"/>
  <c r="O25" i="4"/>
  <c r="O64" i="4"/>
  <c r="O65" i="4" s="1"/>
  <c r="X23" i="3"/>
  <c r="X18" i="3" l="1"/>
  <c r="X20" i="3" s="1"/>
  <c r="Y14" i="3" s="1"/>
  <c r="O12" i="4"/>
  <c r="O26" i="4"/>
  <c r="K7" i="5" l="1"/>
  <c r="K8" i="5" s="1"/>
  <c r="Y17" i="3"/>
  <c r="Y23" i="3" s="1"/>
  <c r="O13" i="4"/>
  <c r="L6" i="5" s="1"/>
  <c r="X24" i="3" s="1"/>
  <c r="X25" i="3" s="1"/>
  <c r="Y19" i="3"/>
  <c r="G36" i="2" s="1"/>
  <c r="G37" i="2" s="1"/>
  <c r="C26" i="1" l="1"/>
  <c r="C24" i="1"/>
  <c r="P77" i="4"/>
  <c r="P78" i="4" s="1"/>
  <c r="P25" i="4"/>
  <c r="P26" i="4" s="1"/>
  <c r="P64" i="4"/>
  <c r="P65" i="4" s="1"/>
  <c r="P38" i="4"/>
  <c r="P39" i="4" s="1"/>
  <c r="P51" i="4"/>
  <c r="P52" i="4" s="1"/>
  <c r="L7" i="5"/>
  <c r="L8" i="5" s="1"/>
  <c r="Y18" i="3"/>
  <c r="Y20" i="3" s="1"/>
  <c r="C27" i="1" l="1"/>
  <c r="P12" i="4"/>
  <c r="P13" i="4"/>
  <c r="M6" i="5" l="1"/>
  <c r="P7" i="5" l="1"/>
  <c r="Q10" i="1" s="1"/>
  <c r="Y24" i="3"/>
  <c r="Y25" i="3" s="1"/>
  <c r="M7" i="5"/>
  <c r="P4" i="5"/>
  <c r="Q7" i="1" s="1"/>
  <c r="C42" i="1" l="1"/>
  <c r="P5" i="5"/>
  <c r="Q8" i="1" s="1"/>
  <c r="M8" i="5"/>
  <c r="P6" i="5"/>
  <c r="C40" i="1" l="1"/>
  <c r="Q9" i="1"/>
  <c r="C41" i="1"/>
</calcChain>
</file>

<file path=xl/sharedStrings.xml><?xml version="1.0" encoding="utf-8"?>
<sst xmlns="http://schemas.openxmlformats.org/spreadsheetml/2006/main" count="380" uniqueCount="160">
  <si>
    <t>Potential Gross Income</t>
  </si>
  <si>
    <t>Vacancy &amp; Collection Loss</t>
  </si>
  <si>
    <t>Effective Gross Income</t>
  </si>
  <si>
    <t>Operating Expense</t>
  </si>
  <si>
    <t>Capital Expendatures</t>
  </si>
  <si>
    <t>Net Operating Income</t>
  </si>
  <si>
    <t>Debt Service</t>
  </si>
  <si>
    <t>Amortization</t>
  </si>
  <si>
    <t>Interest Rate</t>
  </si>
  <si>
    <t>Present Value</t>
  </si>
  <si>
    <t>Future Value</t>
  </si>
  <si>
    <t>Payment</t>
  </si>
  <si>
    <t>IRR</t>
  </si>
  <si>
    <t>Flex</t>
  </si>
  <si>
    <t>Use</t>
  </si>
  <si>
    <t>Parking</t>
  </si>
  <si>
    <t>PSF/Rent</t>
  </si>
  <si>
    <t>PSF/Cost</t>
  </si>
  <si>
    <t>Ampitheater</t>
  </si>
  <si>
    <t>Detention</t>
  </si>
  <si>
    <t>Education</t>
  </si>
  <si>
    <t>Parkspace</t>
  </si>
  <si>
    <t>Resturaunt</t>
  </si>
  <si>
    <t>Retail</t>
  </si>
  <si>
    <t>War Monument</t>
  </si>
  <si>
    <t>Cost</t>
  </si>
  <si>
    <t>sqft</t>
  </si>
  <si>
    <t>LTV Rate</t>
  </si>
  <si>
    <t>Cap Rate</t>
  </si>
  <si>
    <t>Capatalized Value</t>
  </si>
  <si>
    <t>LTC Rate</t>
  </si>
  <si>
    <t>Loan to Value</t>
  </si>
  <si>
    <t>Loan to Cost</t>
  </si>
  <si>
    <t>Debt Service Coverage</t>
  </si>
  <si>
    <t>Capital Stack</t>
  </si>
  <si>
    <t>Use/Cost</t>
  </si>
  <si>
    <t>Project</t>
  </si>
  <si>
    <t>PGI Growth</t>
  </si>
  <si>
    <t>Development Schedule</t>
  </si>
  <si>
    <t>%</t>
  </si>
  <si>
    <t>NOI (year 1)</t>
  </si>
  <si>
    <t>Present Value (loan amount)</t>
  </si>
  <si>
    <t>Project Cost</t>
  </si>
  <si>
    <t>Amount</t>
  </si>
  <si>
    <t>Total Financing</t>
  </si>
  <si>
    <t>TAC</t>
  </si>
  <si>
    <t>Principal</t>
  </si>
  <si>
    <t>Interest</t>
  </si>
  <si>
    <t>Ending Balance</t>
  </si>
  <si>
    <t>Beginning Balance</t>
  </si>
  <si>
    <t>Loan</t>
  </si>
  <si>
    <t>Project Costs</t>
  </si>
  <si>
    <t>Construciton</t>
  </si>
  <si>
    <t>Loan Repayment</t>
  </si>
  <si>
    <t>Loan Proceeds</t>
  </si>
  <si>
    <t>Debt Servicing</t>
  </si>
  <si>
    <t>Draws</t>
  </si>
  <si>
    <t>Cumulative Draws</t>
  </si>
  <si>
    <t>Year</t>
  </si>
  <si>
    <t>Total Cost</t>
  </si>
  <si>
    <t>Subtotal</t>
  </si>
  <si>
    <t>% of Loan Share</t>
  </si>
  <si>
    <t>Months in Year</t>
  </si>
  <si>
    <t>NPV (@ 10%)</t>
  </si>
  <si>
    <t>Total Payments from TAC</t>
  </si>
  <si>
    <t>Total Payments to TAC</t>
  </si>
  <si>
    <t>Revolver Loan</t>
  </si>
  <si>
    <t>Loan Proportioning</t>
  </si>
  <si>
    <t>Pro Forma Assumptions</t>
  </si>
  <si>
    <t>TAC Cash Flows</t>
  </si>
  <si>
    <t>Loan Sizing</t>
  </si>
  <si>
    <t>Land</t>
  </si>
  <si>
    <t>Year 0</t>
  </si>
  <si>
    <t>Buildout</t>
  </si>
  <si>
    <t>Phase 1</t>
  </si>
  <si>
    <t>Phase 2</t>
  </si>
  <si>
    <t>SQFT Built per Year</t>
  </si>
  <si>
    <t>Cumulative SQFT</t>
  </si>
  <si>
    <t>SQFT</t>
  </si>
  <si>
    <t>Loan Info Summary</t>
  </si>
  <si>
    <t>Location:</t>
  </si>
  <si>
    <t>Phase 1 Start:</t>
  </si>
  <si>
    <t>Phase 2 Start:</t>
  </si>
  <si>
    <t>0</t>
  </si>
  <si>
    <t>Hooks, TX</t>
  </si>
  <si>
    <t>Phase</t>
  </si>
  <si>
    <t>Year 4</t>
  </si>
  <si>
    <t>DSC Ratio Multiple</t>
  </si>
  <si>
    <t>Amortization (years)</t>
  </si>
  <si>
    <t>Phase Start</t>
  </si>
  <si>
    <t>TAC Returns</t>
  </si>
  <si>
    <t>Cash-on-Cash</t>
  </si>
  <si>
    <t>PILOT Fund</t>
  </si>
  <si>
    <t>VLC (of PGI)</t>
  </si>
  <si>
    <t>OE (PSF)</t>
  </si>
  <si>
    <t>CAPX (PSF)</t>
  </si>
  <si>
    <t>Income Tax (of BPCF)</t>
  </si>
  <si>
    <t>Year 5</t>
  </si>
  <si>
    <t>Location</t>
  </si>
  <si>
    <t>Profit</t>
  </si>
  <si>
    <t>Schedule</t>
  </si>
  <si>
    <t>Hooks Town Center - Project Summary</t>
  </si>
  <si>
    <t>Financing</t>
  </si>
  <si>
    <t>Bank Loan</t>
  </si>
  <si>
    <t>TAC Equity</t>
  </si>
  <si>
    <t>Uses</t>
  </si>
  <si>
    <t>Development Fee</t>
  </si>
  <si>
    <t>Mixed-Use Project</t>
  </si>
  <si>
    <t>Per Square Foot</t>
  </si>
  <si>
    <t>Net Return to TAC</t>
  </si>
  <si>
    <t>Cash-on-Cash Return</t>
  </si>
  <si>
    <t>Financing Costs</t>
  </si>
  <si>
    <t>Year 1</t>
  </si>
  <si>
    <t>Year 2</t>
  </si>
  <si>
    <t>Year 3</t>
  </si>
  <si>
    <t>Year 6</t>
  </si>
  <si>
    <t>Year 7</t>
  </si>
  <si>
    <t>Year 8</t>
  </si>
  <si>
    <t>Year 9</t>
  </si>
  <si>
    <t>Year 10</t>
  </si>
  <si>
    <t>Total Interest</t>
  </si>
  <si>
    <t>Buildings PSF</t>
  </si>
  <si>
    <t>Detention PSF</t>
  </si>
  <si>
    <t>Parkspace PSF</t>
  </si>
  <si>
    <t>Parking PSF</t>
  </si>
  <si>
    <t>Building</t>
  </si>
  <si>
    <t>Total Development Fee</t>
  </si>
  <si>
    <t>Buildings SF</t>
  </si>
  <si>
    <t>Detention SF</t>
  </si>
  <si>
    <t>Parking SF</t>
  </si>
  <si>
    <t>Parkspace SF</t>
  </si>
  <si>
    <t>construction costs</t>
  </si>
  <si>
    <t>Uses Schedule</t>
  </si>
  <si>
    <t>Construction Cost per Use</t>
  </si>
  <si>
    <t>Total Construction Costs</t>
  </si>
  <si>
    <t>Financing Contributions</t>
  </si>
  <si>
    <t>Cost per Phase</t>
  </si>
  <si>
    <t>% of Proj Funding Required</t>
  </si>
  <si>
    <t>Cash Flow</t>
  </si>
  <si>
    <t>Cash Flow from Ops</t>
  </si>
  <si>
    <t>Debt &amp; Equity Repayments</t>
  </si>
  <si>
    <t>Total Debt &amp; Equity Repayments</t>
  </si>
  <si>
    <t>TAC Equity Contribution</t>
  </si>
  <si>
    <t>TAC Equity Repayment</t>
  </si>
  <si>
    <t>Development Costs</t>
  </si>
  <si>
    <t>Supported Loan Amount</t>
  </si>
  <si>
    <t>Line Item</t>
  </si>
  <si>
    <t>Construction Cost</t>
  </si>
  <si>
    <t>Equity Repaid</t>
  </si>
  <si>
    <t>Cumulative Balance</t>
  </si>
  <si>
    <t>Contributions</t>
  </si>
  <si>
    <t>Net Cash Flow</t>
  </si>
  <si>
    <t>Total</t>
  </si>
  <si>
    <t>Net Cash Flow (10 Year Hold)</t>
  </si>
  <si>
    <t>LDEV 688 - Spring 2020</t>
  </si>
  <si>
    <t>Hooks Town Center Financial Model</t>
  </si>
  <si>
    <t>Mariam Harutunian, Landon Parker, Jason Pollan</t>
  </si>
  <si>
    <t>Amphitheater</t>
  </si>
  <si>
    <t>Restaurant</t>
  </si>
  <si>
    <t>Financing (Interest)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</si>
</sst>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#,##0\ &quot;SF&quot;"/>
    <numFmt numFmtId="168" formatCode="#,##0.0\ &quot;X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 applyBorder="1"/>
    <xf numFmtId="0" fontId="2" fillId="0" borderId="0" xfId="0" applyFont="1"/>
    <xf numFmtId="43" fontId="3" fillId="0" borderId="0" xfId="1" applyFont="1" applyBorder="1"/>
    <xf numFmtId="43" fontId="2" fillId="0" borderId="0" xfId="1" applyFont="1"/>
    <xf numFmtId="9" fontId="2" fillId="0" borderId="0" xfId="0" applyNumberFormat="1" applyFont="1"/>
    <xf numFmtId="0" fontId="3" fillId="0" borderId="0" xfId="0" applyFont="1"/>
    <xf numFmtId="43" fontId="2" fillId="0" borderId="0" xfId="0" applyNumberFormat="1" applyFont="1"/>
    <xf numFmtId="0" fontId="4" fillId="0" borderId="0" xfId="0" applyFont="1"/>
    <xf numFmtId="8" fontId="2" fillId="0" borderId="0" xfId="0" applyNumberFormat="1" applyFont="1"/>
    <xf numFmtId="10" fontId="3" fillId="0" borderId="0" xfId="0" applyNumberFormat="1" applyFont="1"/>
    <xf numFmtId="10" fontId="2" fillId="0" borderId="0" xfId="0" applyNumberFormat="1" applyFont="1"/>
    <xf numFmtId="0" fontId="2" fillId="0" borderId="4" xfId="0" applyFont="1" applyBorder="1"/>
    <xf numFmtId="0" fontId="2" fillId="0" borderId="5" xfId="0" applyFont="1" applyBorder="1"/>
    <xf numFmtId="164" fontId="2" fillId="0" borderId="0" xfId="1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0" xfId="0" applyFont="1" applyBorder="1"/>
    <xf numFmtId="8" fontId="2" fillId="0" borderId="0" xfId="0" applyNumberFormat="1" applyFont="1" applyBorder="1"/>
    <xf numFmtId="164" fontId="2" fillId="0" borderId="0" xfId="0" applyNumberFormat="1" applyFont="1" applyBorder="1"/>
    <xf numFmtId="0" fontId="2" fillId="0" borderId="4" xfId="0" applyFont="1" applyFill="1" applyBorder="1"/>
    <xf numFmtId="0" fontId="2" fillId="0" borderId="0" xfId="0" applyFont="1" applyFill="1" applyBorder="1"/>
    <xf numFmtId="164" fontId="6" fillId="2" borderId="0" xfId="0" applyNumberFormat="1" applyFont="1" applyFill="1" applyBorder="1"/>
    <xf numFmtId="164" fontId="6" fillId="3" borderId="0" xfId="0" applyNumberFormat="1" applyFont="1" applyFill="1" applyBorder="1"/>
    <xf numFmtId="164" fontId="6" fillId="3" borderId="5" xfId="0" applyNumberFormat="1" applyFont="1" applyFill="1" applyBorder="1"/>
    <xf numFmtId="0" fontId="2" fillId="3" borderId="5" xfId="0" applyFont="1" applyFill="1" applyBorder="1"/>
    <xf numFmtId="0" fontId="2" fillId="2" borderId="0" xfId="0" applyFont="1" applyFill="1" applyBorder="1"/>
    <xf numFmtId="0" fontId="2" fillId="3" borderId="0" xfId="0" applyFont="1" applyFill="1" applyBorder="1"/>
    <xf numFmtId="164" fontId="2" fillId="2" borderId="0" xfId="1" applyNumberFormat="1" applyFont="1" applyFill="1" applyBorder="1"/>
    <xf numFmtId="164" fontId="2" fillId="3" borderId="0" xfId="1" applyNumberFormat="1" applyFont="1" applyFill="1" applyBorder="1"/>
    <xf numFmtId="164" fontId="2" fillId="3" borderId="5" xfId="1" applyNumberFormat="1" applyFont="1" applyFill="1" applyBorder="1"/>
    <xf numFmtId="43" fontId="4" fillId="0" borderId="5" xfId="1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2" fillId="0" borderId="1" xfId="0" applyFont="1" applyBorder="1"/>
    <xf numFmtId="0" fontId="2" fillId="2" borderId="2" xfId="0" applyFont="1" applyFill="1" applyBorder="1"/>
    <xf numFmtId="0" fontId="2" fillId="3" borderId="3" xfId="0" applyFont="1" applyFill="1" applyBorder="1"/>
    <xf numFmtId="164" fontId="2" fillId="0" borderId="5" xfId="1" applyNumberFormat="1" applyFont="1" applyBorder="1"/>
    <xf numFmtId="164" fontId="2" fillId="2" borderId="0" xfId="0" applyNumberFormat="1" applyFont="1" applyFill="1" applyBorder="1"/>
    <xf numFmtId="164" fontId="2" fillId="3" borderId="5" xfId="0" applyNumberFormat="1" applyFont="1" applyFill="1" applyBorder="1"/>
    <xf numFmtId="0" fontId="2" fillId="2" borderId="7" xfId="0" applyFont="1" applyFill="1" applyBorder="1"/>
    <xf numFmtId="0" fontId="2" fillId="3" borderId="8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2" fillId="2" borderId="10" xfId="0" applyFont="1" applyFill="1" applyBorder="1"/>
    <xf numFmtId="0" fontId="2" fillId="3" borderId="11" xfId="0" applyFont="1" applyFill="1" applyBorder="1"/>
    <xf numFmtId="0" fontId="2" fillId="0" borderId="11" xfId="0" applyFont="1" applyBorder="1"/>
    <xf numFmtId="43" fontId="2" fillId="0" borderId="5" xfId="1" applyFont="1" applyBorder="1" applyAlignment="1">
      <alignment horizontal="right"/>
    </xf>
    <xf numFmtId="164" fontId="2" fillId="0" borderId="5" xfId="0" applyNumberFormat="1" applyFont="1" applyBorder="1"/>
    <xf numFmtId="0" fontId="2" fillId="2" borderId="9" xfId="0" applyFont="1" applyFill="1" applyBorder="1"/>
    <xf numFmtId="164" fontId="6" fillId="2" borderId="10" xfId="0" applyNumberFormat="1" applyFont="1" applyFill="1" applyBorder="1"/>
    <xf numFmtId="164" fontId="6" fillId="3" borderId="10" xfId="0" applyNumberFormat="1" applyFont="1" applyFill="1" applyBorder="1"/>
    <xf numFmtId="0" fontId="6" fillId="2" borderId="9" xfId="0" applyFont="1" applyFill="1" applyBorder="1"/>
    <xf numFmtId="0" fontId="6" fillId="0" borderId="4" xfId="0" applyFont="1" applyFill="1" applyBorder="1"/>
    <xf numFmtId="164" fontId="6" fillId="2" borderId="11" xfId="0" applyNumberFormat="1" applyFont="1" applyFill="1" applyBorder="1"/>
    <xf numFmtId="164" fontId="6" fillId="3" borderId="9" xfId="0" applyNumberFormat="1" applyFont="1" applyFill="1" applyBorder="1"/>
    <xf numFmtId="0" fontId="10" fillId="0" borderId="9" xfId="0" applyFont="1" applyFill="1" applyBorder="1"/>
    <xf numFmtId="164" fontId="10" fillId="2" borderId="10" xfId="0" applyNumberFormat="1" applyFont="1" applyFill="1" applyBorder="1"/>
    <xf numFmtId="164" fontId="10" fillId="3" borderId="10" xfId="0" applyNumberFormat="1" applyFont="1" applyFill="1" applyBorder="1"/>
    <xf numFmtId="164" fontId="10" fillId="3" borderId="11" xfId="0" applyNumberFormat="1" applyFont="1" applyFill="1" applyBorder="1"/>
    <xf numFmtId="0" fontId="11" fillId="0" borderId="9" xfId="0" applyFont="1" applyBorder="1"/>
    <xf numFmtId="0" fontId="2" fillId="2" borderId="11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165" fontId="4" fillId="2" borderId="0" xfId="2" applyNumberFormat="1" applyFont="1" applyFill="1" applyBorder="1"/>
    <xf numFmtId="165" fontId="2" fillId="3" borderId="5" xfId="2" applyNumberFormat="1" applyFont="1" applyFill="1" applyBorder="1"/>
    <xf numFmtId="164" fontId="4" fillId="0" borderId="0" xfId="1" applyNumberFormat="1" applyFont="1" applyBorder="1"/>
    <xf numFmtId="164" fontId="4" fillId="0" borderId="5" xfId="1" applyNumberFormat="1" applyFont="1" applyBorder="1"/>
    <xf numFmtId="164" fontId="4" fillId="0" borderId="8" xfId="0" applyNumberFormat="1" applyFont="1" applyBorder="1"/>
    <xf numFmtId="164" fontId="2" fillId="3" borderId="0" xfId="0" applyNumberFormat="1" applyFont="1" applyFill="1" applyBorder="1"/>
    <xf numFmtId="164" fontId="12" fillId="0" borderId="10" xfId="0" applyNumberFormat="1" applyFont="1" applyBorder="1"/>
    <xf numFmtId="164" fontId="12" fillId="0" borderId="11" xfId="0" applyNumberFormat="1" applyFont="1" applyBorder="1"/>
    <xf numFmtId="164" fontId="11" fillId="0" borderId="10" xfId="0" applyNumberFormat="1" applyFont="1" applyBorder="1"/>
    <xf numFmtId="164" fontId="2" fillId="2" borderId="10" xfId="1" applyNumberFormat="1" applyFont="1" applyFill="1" applyBorder="1"/>
    <xf numFmtId="164" fontId="2" fillId="2" borderId="11" xfId="1" applyNumberFormat="1" applyFont="1" applyFill="1" applyBorder="1"/>
    <xf numFmtId="164" fontId="2" fillId="3" borderId="9" xfId="1" applyNumberFormat="1" applyFont="1" applyFill="1" applyBorder="1"/>
    <xf numFmtId="164" fontId="2" fillId="3" borderId="10" xfId="1" applyNumberFormat="1" applyFont="1" applyFill="1" applyBorder="1"/>
    <xf numFmtId="164" fontId="2" fillId="3" borderId="11" xfId="1" applyNumberFormat="1" applyFont="1" applyFill="1" applyBorder="1"/>
    <xf numFmtId="43" fontId="4" fillId="0" borderId="4" xfId="1" applyFont="1" applyFill="1" applyBorder="1" applyAlignment="1">
      <alignment horizontal="left"/>
    </xf>
    <xf numFmtId="0" fontId="11" fillId="0" borderId="9" xfId="0" applyFont="1" applyFill="1" applyBorder="1"/>
    <xf numFmtId="164" fontId="11" fillId="2" borderId="10" xfId="1" applyNumberFormat="1" applyFont="1" applyFill="1" applyBorder="1"/>
    <xf numFmtId="164" fontId="11" fillId="3" borderId="10" xfId="1" applyNumberFormat="1" applyFont="1" applyFill="1" applyBorder="1"/>
    <xf numFmtId="164" fontId="11" fillId="3" borderId="11" xfId="1" applyNumberFormat="1" applyFont="1" applyFill="1" applyBorder="1"/>
    <xf numFmtId="2" fontId="4" fillId="0" borderId="5" xfId="0" applyNumberFormat="1" applyFont="1" applyBorder="1"/>
    <xf numFmtId="165" fontId="4" fillId="0" borderId="5" xfId="0" applyNumberFormat="1" applyFont="1" applyBorder="1"/>
    <xf numFmtId="165" fontId="2" fillId="0" borderId="5" xfId="1" applyNumberFormat="1" applyFont="1" applyBorder="1"/>
    <xf numFmtId="166" fontId="2" fillId="0" borderId="8" xfId="1" applyNumberFormat="1" applyFont="1" applyBorder="1"/>
    <xf numFmtId="2" fontId="4" fillId="0" borderId="8" xfId="0" applyNumberFormat="1" applyFont="1" applyBorder="1"/>
    <xf numFmtId="164" fontId="2" fillId="2" borderId="9" xfId="1" quotePrefix="1" applyNumberFormat="1" applyFont="1" applyFill="1" applyBorder="1" applyAlignment="1">
      <alignment horizontal="right"/>
    </xf>
    <xf numFmtId="164" fontId="4" fillId="0" borderId="0" xfId="0" applyNumberFormat="1" applyFont="1" applyBorder="1"/>
    <xf numFmtId="165" fontId="4" fillId="0" borderId="5" xfId="2" applyNumberFormat="1" applyFont="1" applyBorder="1"/>
    <xf numFmtId="164" fontId="4" fillId="0" borderId="5" xfId="0" applyNumberFormat="1" applyFont="1" applyBorder="1"/>
    <xf numFmtId="164" fontId="4" fillId="0" borderId="5" xfId="0" quotePrefix="1" applyNumberFormat="1" applyFont="1" applyBorder="1" applyAlignment="1">
      <alignment horizontal="right"/>
    </xf>
    <xf numFmtId="1" fontId="4" fillId="0" borderId="5" xfId="0" applyNumberFormat="1" applyFont="1" applyBorder="1"/>
    <xf numFmtId="165" fontId="2" fillId="0" borderId="5" xfId="0" applyNumberFormat="1" applyFont="1" applyBorder="1"/>
    <xf numFmtId="6" fontId="4" fillId="0" borderId="5" xfId="1" applyNumberFormat="1" applyFont="1" applyBorder="1"/>
    <xf numFmtId="6" fontId="4" fillId="0" borderId="5" xfId="0" applyNumberFormat="1" applyFont="1" applyBorder="1"/>
    <xf numFmtId="6" fontId="4" fillId="0" borderId="5" xfId="0" applyNumberFormat="1" applyFont="1" applyFill="1" applyBorder="1"/>
    <xf numFmtId="6" fontId="2" fillId="0" borderId="5" xfId="0" applyNumberFormat="1" applyFont="1" applyBorder="1"/>
    <xf numFmtId="6" fontId="2" fillId="0" borderId="5" xfId="1" applyNumberFormat="1" applyFont="1" applyBorder="1"/>
    <xf numFmtId="6" fontId="2" fillId="0" borderId="8" xfId="0" applyNumberFormat="1" applyFont="1" applyBorder="1"/>
    <xf numFmtId="165" fontId="2" fillId="0" borderId="5" xfId="2" applyNumberFormat="1" applyFont="1" applyBorder="1"/>
    <xf numFmtId="165" fontId="11" fillId="0" borderId="11" xfId="2" applyNumberFormat="1" applyFont="1" applyBorder="1"/>
    <xf numFmtId="165" fontId="12" fillId="2" borderId="10" xfId="2" applyNumberFormat="1" applyFont="1" applyFill="1" applyBorder="1"/>
    <xf numFmtId="165" fontId="11" fillId="3" borderId="11" xfId="2" applyNumberFormat="1" applyFont="1" applyFill="1" applyBorder="1"/>
    <xf numFmtId="164" fontId="11" fillId="0" borderId="11" xfId="1" applyNumberFormat="1" applyFont="1" applyBorder="1"/>
    <xf numFmtId="0" fontId="2" fillId="0" borderId="4" xfId="0" applyFont="1" applyBorder="1" applyAlignment="1">
      <alignment horizontal="left" indent="2"/>
    </xf>
    <xf numFmtId="0" fontId="2" fillId="0" borderId="4" xfId="0" applyFont="1" applyBorder="1" applyAlignment="1">
      <alignment horizontal="left" indent="4"/>
    </xf>
    <xf numFmtId="0" fontId="13" fillId="0" borderId="4" xfId="0" applyFont="1" applyBorder="1"/>
    <xf numFmtId="0" fontId="11" fillId="0" borderId="4" xfId="0" applyFont="1" applyBorder="1" applyAlignment="1">
      <alignment horizontal="left" indent="2"/>
    </xf>
    <xf numFmtId="167" fontId="4" fillId="0" borderId="5" xfId="1" applyNumberFormat="1" applyFont="1" applyBorder="1" applyAlignment="1">
      <alignment horizontal="right"/>
    </xf>
    <xf numFmtId="168" fontId="4" fillId="0" borderId="8" xfId="1" applyNumberFormat="1" applyFont="1" applyBorder="1" applyAlignment="1">
      <alignment horizontal="right"/>
    </xf>
    <xf numFmtId="164" fontId="11" fillId="0" borderId="11" xfId="0" applyNumberFormat="1" applyFont="1" applyBorder="1"/>
    <xf numFmtId="2" fontId="2" fillId="0" borderId="5" xfId="0" applyNumberFormat="1" applyFont="1" applyBorder="1"/>
    <xf numFmtId="0" fontId="2" fillId="2" borderId="0" xfId="0" applyFont="1" applyFill="1"/>
    <xf numFmtId="43" fontId="4" fillId="0" borderId="8" xfId="1" applyFont="1" applyBorder="1"/>
    <xf numFmtId="164" fontId="4" fillId="0" borderId="5" xfId="1" quotePrefix="1" applyNumberFormat="1" applyFont="1" applyBorder="1" applyAlignment="1">
      <alignment horizontal="right"/>
    </xf>
    <xf numFmtId="164" fontId="4" fillId="0" borderId="2" xfId="1" applyNumberFormat="1" applyFont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4" xfId="0" applyFont="1" applyFill="1" applyBorder="1" applyAlignment="1">
      <alignment horizontal="left"/>
    </xf>
    <xf numFmtId="164" fontId="4" fillId="0" borderId="0" xfId="1" applyNumberFormat="1" applyFont="1" applyFill="1" applyBorder="1"/>
    <xf numFmtId="0" fontId="12" fillId="0" borderId="9" xfId="0" applyFont="1" applyFill="1" applyBorder="1"/>
    <xf numFmtId="0" fontId="4" fillId="0" borderId="4" xfId="0" applyFont="1" applyFill="1" applyBorder="1"/>
    <xf numFmtId="43" fontId="4" fillId="0" borderId="3" xfId="1" applyFont="1" applyFill="1" applyBorder="1"/>
    <xf numFmtId="43" fontId="4" fillId="0" borderId="5" xfId="1" applyFont="1" applyFill="1" applyBorder="1"/>
    <xf numFmtId="0" fontId="2" fillId="0" borderId="5" xfId="0" applyFont="1" applyFill="1" applyBorder="1"/>
    <xf numFmtId="43" fontId="4" fillId="0" borderId="8" xfId="1" applyFont="1" applyFill="1" applyBorder="1"/>
    <xf numFmtId="164" fontId="12" fillId="0" borderId="10" xfId="1" applyNumberFormat="1" applyFont="1" applyFill="1" applyBorder="1"/>
    <xf numFmtId="43" fontId="12" fillId="0" borderId="11" xfId="1" applyFont="1" applyFill="1" applyBorder="1"/>
    <xf numFmtId="164" fontId="2" fillId="0" borderId="0" xfId="0" applyNumberFormat="1" applyFont="1" applyFill="1" applyBorder="1"/>
    <xf numFmtId="0" fontId="2" fillId="0" borderId="6" xfId="0" applyFont="1" applyFill="1" applyBorder="1"/>
    <xf numFmtId="164" fontId="4" fillId="0" borderId="7" xfId="1" applyNumberFormat="1" applyFont="1" applyFill="1" applyBorder="1"/>
    <xf numFmtId="43" fontId="11" fillId="0" borderId="11" xfId="1" applyFont="1" applyBorder="1"/>
    <xf numFmtId="165" fontId="2" fillId="2" borderId="0" xfId="2" applyNumberFormat="1" applyFont="1" applyFill="1" applyBorder="1"/>
    <xf numFmtId="165" fontId="2" fillId="3" borderId="0" xfId="2" applyNumberFormat="1" applyFont="1" applyFill="1" applyBorder="1"/>
    <xf numFmtId="0" fontId="11" fillId="0" borderId="4" xfId="0" applyFont="1" applyBorder="1"/>
    <xf numFmtId="0" fontId="12" fillId="0" borderId="9" xfId="0" applyFont="1" applyBorder="1"/>
    <xf numFmtId="165" fontId="12" fillId="0" borderId="11" xfId="2" applyNumberFormat="1" applyFont="1" applyBorder="1"/>
    <xf numFmtId="0" fontId="4" fillId="0" borderId="4" xfId="1" applyNumberFormat="1" applyFont="1" applyFill="1" applyBorder="1" applyAlignment="1">
      <alignment horizontal="left"/>
    </xf>
    <xf numFmtId="164" fontId="11" fillId="2" borderId="7" xfId="1" applyNumberFormat="1" applyFont="1" applyFill="1" applyBorder="1"/>
    <xf numFmtId="164" fontId="11" fillId="3" borderId="7" xfId="1" applyNumberFormat="1" applyFont="1" applyFill="1" applyBorder="1"/>
    <xf numFmtId="164" fontId="11" fillId="3" borderId="8" xfId="1" applyNumberFormat="1" applyFont="1" applyFill="1" applyBorder="1"/>
    <xf numFmtId="0" fontId="11" fillId="0" borderId="0" xfId="0" applyFont="1" applyBorder="1"/>
    <xf numFmtId="0" fontId="11" fillId="0" borderId="6" xfId="0" applyFont="1" applyBorder="1" applyAlignment="1">
      <alignment horizontal="left" indent="2"/>
    </xf>
    <xf numFmtId="164" fontId="11" fillId="2" borderId="0" xfId="1" applyNumberFormat="1" applyFont="1" applyFill="1" applyBorder="1"/>
    <xf numFmtId="164" fontId="11" fillId="3" borderId="0" xfId="1" applyNumberFormat="1" applyFont="1" applyFill="1" applyBorder="1"/>
    <xf numFmtId="164" fontId="11" fillId="3" borderId="5" xfId="1" applyNumberFormat="1" applyFont="1" applyFill="1" applyBorder="1"/>
    <xf numFmtId="0" fontId="13" fillId="0" borderId="4" xfId="0" applyFont="1" applyFill="1" applyBorder="1"/>
    <xf numFmtId="0" fontId="2" fillId="0" borderId="4" xfId="0" applyFont="1" applyFill="1" applyBorder="1" applyAlignment="1">
      <alignment horizontal="left" indent="2"/>
    </xf>
    <xf numFmtId="164" fontId="2" fillId="0" borderId="5" xfId="1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4" xfId="0" applyFont="1" applyFill="1" applyBorder="1" applyAlignment="1">
      <alignment horizontal="left" indent="2"/>
    </xf>
    <xf numFmtId="164" fontId="2" fillId="2" borderId="5" xfId="1" applyNumberFormat="1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horizontal="left" indent="2"/>
    </xf>
    <xf numFmtId="164" fontId="11" fillId="0" borderId="10" xfId="1" applyNumberFormat="1" applyFont="1" applyBorder="1"/>
    <xf numFmtId="43" fontId="2" fillId="0" borderId="5" xfId="1" applyFont="1" applyBorder="1"/>
    <xf numFmtId="0" fontId="2" fillId="0" borderId="10" xfId="0" applyFont="1" applyBorder="1" applyAlignment="1">
      <alignment horizontal="right"/>
    </xf>
    <xf numFmtId="164" fontId="2" fillId="0" borderId="7" xfId="1" applyNumberFormat="1" applyFont="1" applyBorder="1"/>
    <xf numFmtId="43" fontId="2" fillId="0" borderId="8" xfId="1" applyFont="1" applyBorder="1"/>
    <xf numFmtId="164" fontId="11" fillId="0" borderId="0" xfId="1" applyNumberFormat="1" applyFont="1" applyBorder="1"/>
    <xf numFmtId="164" fontId="2" fillId="0" borderId="5" xfId="0" applyNumberFormat="1" applyFont="1" applyFill="1" applyBorder="1"/>
    <xf numFmtId="43" fontId="2" fillId="0" borderId="5" xfId="0" applyNumberFormat="1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11" fillId="0" borderId="0" xfId="0" applyFont="1"/>
    <xf numFmtId="164" fontId="4" fillId="2" borderId="0" xfId="1" applyNumberFormat="1" applyFont="1" applyFill="1" applyBorder="1"/>
    <xf numFmtId="164" fontId="12" fillId="2" borderId="10" xfId="1" applyNumberFormat="1" applyFont="1" applyFill="1" applyBorder="1"/>
    <xf numFmtId="164" fontId="2" fillId="5" borderId="10" xfId="0" applyNumberFormat="1" applyFont="1" applyFill="1" applyBorder="1"/>
    <xf numFmtId="164" fontId="2" fillId="5" borderId="11" xfId="0" applyNumberFormat="1" applyFont="1" applyFill="1" applyBorder="1"/>
    <xf numFmtId="164" fontId="2" fillId="2" borderId="10" xfId="0" applyNumberFormat="1" applyFont="1" applyFill="1" applyBorder="1"/>
    <xf numFmtId="0" fontId="8" fillId="4" borderId="1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164" fontId="9" fillId="3" borderId="3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4" fontId="4" fillId="2" borderId="12" xfId="1" applyNumberFormat="1" applyFont="1" applyFill="1" applyBorder="1" applyAlignment="1">
      <alignment horizontal="center"/>
    </xf>
    <xf numFmtId="164" fontId="4" fillId="3" borderId="12" xfId="1" applyNumberFormat="1" applyFont="1" applyFill="1" applyBorder="1" applyAlignment="1">
      <alignment horizontal="center"/>
    </xf>
    <xf numFmtId="164" fontId="8" fillId="4" borderId="1" xfId="1" applyNumberFormat="1" applyFont="1" applyFill="1" applyBorder="1" applyAlignment="1">
      <alignment horizontal="center"/>
    </xf>
    <xf numFmtId="164" fontId="8" fillId="4" borderId="2" xfId="1" applyNumberFormat="1" applyFont="1" applyFill="1" applyBorder="1" applyAlignment="1">
      <alignment horizontal="center"/>
    </xf>
    <xf numFmtId="164" fontId="8" fillId="4" borderId="3" xfId="1" applyNumberFormat="1" applyFont="1" applyFill="1" applyBorder="1" applyAlignment="1">
      <alignment horizontal="center"/>
    </xf>
    <xf numFmtId="43" fontId="8" fillId="4" borderId="1" xfId="1" applyFont="1" applyFill="1" applyBorder="1" applyAlignment="1">
      <alignment horizontal="center"/>
    </xf>
    <xf numFmtId="43" fontId="8" fillId="4" borderId="2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43" fontId="4" fillId="2" borderId="9" xfId="1" applyFont="1" applyFill="1" applyBorder="1" applyAlignment="1">
      <alignment horizontal="center"/>
    </xf>
    <xf numFmtId="43" fontId="4" fillId="2" borderId="10" xfId="1" applyFont="1" applyFill="1" applyBorder="1" applyAlignment="1">
      <alignment horizontal="center"/>
    </xf>
    <xf numFmtId="43" fontId="4" fillId="2" borderId="11" xfId="1" applyFont="1" applyFill="1" applyBorder="1" applyAlignment="1">
      <alignment horizontal="center"/>
    </xf>
    <xf numFmtId="43" fontId="4" fillId="3" borderId="9" xfId="1" applyFont="1" applyFill="1" applyBorder="1" applyAlignment="1">
      <alignment horizontal="center"/>
    </xf>
    <xf numFmtId="43" fontId="4" fillId="3" borderId="10" xfId="1" applyFont="1" applyFill="1" applyBorder="1" applyAlignment="1">
      <alignment horizontal="center"/>
    </xf>
    <xf numFmtId="43" fontId="4" fillId="3" borderId="11" xfId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47262-AB93-4BCF-8BF6-AEADA3517107}">
  <dimension ref="B1:Q42"/>
  <sheetViews>
    <sheetView showGridLines="0" tabSelected="1" zoomScaleNormal="100" workbookViewId="0"/>
  </sheetViews>
  <sheetFormatPr defaultColWidth="3.85546875" defaultRowHeight="12.75" x14ac:dyDescent="0.2"/>
  <cols>
    <col min="1" max="1" width="3.85546875" style="2"/>
    <col min="2" max="2" width="19.42578125" style="2" bestFit="1" customWidth="1"/>
    <col min="3" max="3" width="12.7109375" style="2" bestFit="1" customWidth="1"/>
    <col min="4" max="4" width="3.85546875" style="2"/>
    <col min="5" max="5" width="20.140625" style="2" bestFit="1" customWidth="1"/>
    <col min="6" max="7" width="11" style="2" bestFit="1" customWidth="1"/>
    <col min="8" max="8" width="3.85546875" style="2"/>
    <col min="9" max="9" width="20.42578125" style="2" bestFit="1" customWidth="1"/>
    <col min="10" max="10" width="12.7109375" style="2" bestFit="1" customWidth="1"/>
    <col min="11" max="11" width="7.85546875" style="2" bestFit="1" customWidth="1"/>
    <col min="12" max="12" width="3.85546875" style="2"/>
    <col min="13" max="13" width="22.140625" style="2" bestFit="1" customWidth="1"/>
    <col min="14" max="14" width="11.28515625" style="2" bestFit="1" customWidth="1"/>
    <col min="15" max="15" width="3.85546875" style="2"/>
    <col min="16" max="16" width="21" style="2" bestFit="1" customWidth="1"/>
    <col min="17" max="17" width="13.42578125" style="2" bestFit="1" customWidth="1"/>
    <col min="18" max="20" width="3.85546875" style="2"/>
    <col min="21" max="21" width="22.140625" style="2" bestFit="1" customWidth="1"/>
    <col min="22" max="22" width="11.28515625" style="2" bestFit="1" customWidth="1"/>
    <col min="23" max="28" width="5.28515625" style="2" bestFit="1" customWidth="1"/>
    <col min="29" max="16384" width="3.85546875" style="2"/>
  </cols>
  <sheetData>
    <row r="1" spans="2:17" x14ac:dyDescent="0.2">
      <c r="B1" s="172" t="s">
        <v>154</v>
      </c>
    </row>
    <row r="2" spans="2:17" x14ac:dyDescent="0.2">
      <c r="B2" s="172" t="s">
        <v>155</v>
      </c>
    </row>
    <row r="3" spans="2:17" x14ac:dyDescent="0.2">
      <c r="B3" s="172" t="s">
        <v>156</v>
      </c>
    </row>
    <row r="5" spans="2:17" ht="15" customHeight="1" x14ac:dyDescent="0.2">
      <c r="B5" s="178" t="s">
        <v>101</v>
      </c>
      <c r="C5" s="179"/>
      <c r="E5" s="180" t="str">
        <f>Cost!F11</f>
        <v>Development Costs</v>
      </c>
      <c r="F5" s="181"/>
      <c r="G5" s="181"/>
      <c r="I5" s="178" t="s">
        <v>79</v>
      </c>
      <c r="J5" s="179"/>
      <c r="M5" s="178" t="str">
        <f>'Pro Forma'!B11</f>
        <v>PSF/Rent</v>
      </c>
      <c r="N5" s="179"/>
      <c r="P5" s="178" t="str">
        <f>'Equity Repayment'!O2</f>
        <v>TAC Returns</v>
      </c>
      <c r="Q5" s="179"/>
    </row>
    <row r="6" spans="2:17" ht="15" customHeight="1" x14ac:dyDescent="0.2">
      <c r="B6" s="111" t="s">
        <v>98</v>
      </c>
      <c r="C6" s="13"/>
      <c r="E6" s="45" t="str">
        <f>Cost!F12</f>
        <v>Use</v>
      </c>
      <c r="F6" s="163" t="str">
        <f>Cost!G12</f>
        <v>SQFT</v>
      </c>
      <c r="G6" s="49" t="str">
        <f>Cost!H12</f>
        <v>PSF/Cost</v>
      </c>
      <c r="I6" s="12" t="s">
        <v>145</v>
      </c>
      <c r="J6" s="51">
        <f>Financing!L5</f>
        <v>4337050.5230550664</v>
      </c>
      <c r="M6" s="12" t="str">
        <f>'Pro Forma'!B12</f>
        <v>Ampitheater</v>
      </c>
      <c r="N6" s="13">
        <f>'Pro Forma'!C12</f>
        <v>7.75</v>
      </c>
      <c r="P6" s="12" t="str">
        <f>'Equity Repayment'!O3</f>
        <v>Total Payments from TAC</v>
      </c>
      <c r="Q6" s="40">
        <f>'Equity Repayment'!P3</f>
        <v>-3829898.1527481535</v>
      </c>
    </row>
    <row r="7" spans="2:17" x14ac:dyDescent="0.2">
      <c r="B7" s="109" t="s">
        <v>80</v>
      </c>
      <c r="C7" s="50" t="s">
        <v>84</v>
      </c>
      <c r="E7" s="12" t="str">
        <f>Cost!F13</f>
        <v>Land</v>
      </c>
      <c r="F7" s="14">
        <f>Cost!G13</f>
        <v>1524600</v>
      </c>
      <c r="G7" s="162">
        <f>Cost!H13</f>
        <v>0.57392102846648296</v>
      </c>
      <c r="I7" s="12" t="s">
        <v>8</v>
      </c>
      <c r="J7" s="97">
        <f>Financing!L4</f>
        <v>0.1</v>
      </c>
      <c r="M7" s="12" t="str">
        <f>'Pro Forma'!B13</f>
        <v>Education</v>
      </c>
      <c r="N7" s="116">
        <f>'Pro Forma'!C13</f>
        <v>8.5</v>
      </c>
      <c r="P7" s="12" t="str">
        <f>'Equity Repayment'!O4</f>
        <v>Total Payments to TAC</v>
      </c>
      <c r="Q7" s="40">
        <f>'Equity Repayment'!P4</f>
        <v>6282741.0732924119</v>
      </c>
    </row>
    <row r="8" spans="2:17" x14ac:dyDescent="0.2">
      <c r="B8" s="111" t="s">
        <v>107</v>
      </c>
      <c r="C8" s="13"/>
      <c r="E8" s="12" t="str">
        <f>Cost!F14</f>
        <v>Ampitheater</v>
      </c>
      <c r="F8" s="14">
        <f>Cost!G14</f>
        <v>10000</v>
      </c>
      <c r="G8" s="162">
        <f>Cost!H14</f>
        <v>22.795500000000001</v>
      </c>
      <c r="I8" s="15" t="s">
        <v>88</v>
      </c>
      <c r="J8" s="17">
        <f>Financing!L3</f>
        <v>10</v>
      </c>
      <c r="M8" s="12" t="str">
        <f>'Pro Forma'!B14</f>
        <v>Flex</v>
      </c>
      <c r="N8" s="13">
        <f>'Pro Forma'!C14</f>
        <v>6.75</v>
      </c>
      <c r="P8" s="12" t="str">
        <f>'Equity Repayment'!O5</f>
        <v>IRR</v>
      </c>
      <c r="Q8" s="104">
        <f>'Equity Repayment'!P5</f>
        <v>7.2128046217627029E-2</v>
      </c>
    </row>
    <row r="9" spans="2:17" x14ac:dyDescent="0.2">
      <c r="B9" s="112" t="s">
        <v>105</v>
      </c>
      <c r="C9" s="13"/>
      <c r="E9" s="12" t="str">
        <f>Cost!F15</f>
        <v>Detention</v>
      </c>
      <c r="F9" s="14">
        <f>Cost!G15</f>
        <v>224000</v>
      </c>
      <c r="G9" s="162">
        <f>Cost!H15</f>
        <v>1.49</v>
      </c>
      <c r="M9" s="12" t="str">
        <f>'Pro Forma'!B15</f>
        <v>Resturaunt</v>
      </c>
      <c r="N9" s="13">
        <f>'Pro Forma'!C15</f>
        <v>9.75</v>
      </c>
      <c r="P9" s="12" t="str">
        <f>'Equity Repayment'!O6</f>
        <v>NPV (@ 10%)</v>
      </c>
      <c r="Q9" s="40">
        <f>'Equity Repayment'!P6</f>
        <v>2323591.952783714</v>
      </c>
    </row>
    <row r="10" spans="2:17" x14ac:dyDescent="0.2">
      <c r="B10" s="110" t="s">
        <v>157</v>
      </c>
      <c r="C10" s="113">
        <f>Cost!C4</f>
        <v>10000</v>
      </c>
      <c r="E10" s="12" t="str">
        <f>Cost!F16</f>
        <v>Education</v>
      </c>
      <c r="F10" s="14">
        <f>Cost!G16</f>
        <v>33000</v>
      </c>
      <c r="G10" s="162">
        <f>Cost!H16</f>
        <v>38.577000000000005</v>
      </c>
      <c r="I10" s="180" t="str">
        <f>Financing!B2</f>
        <v>Capital Stack</v>
      </c>
      <c r="J10" s="181"/>
      <c r="K10" s="181"/>
      <c r="M10" s="15" t="str">
        <f>'Pro Forma'!B16</f>
        <v>Retail</v>
      </c>
      <c r="N10" s="17">
        <f>'Pro Forma'!C16</f>
        <v>9.25</v>
      </c>
      <c r="P10" s="15" t="str">
        <f>'Equity Repayment'!O7</f>
        <v>Cash-on-Cash</v>
      </c>
      <c r="Q10" s="89">
        <f>'Equity Repayment'!P7</f>
        <v>1.6404459916993392</v>
      </c>
    </row>
    <row r="11" spans="2:17" x14ac:dyDescent="0.2">
      <c r="B11" s="110" t="s">
        <v>19</v>
      </c>
      <c r="C11" s="113">
        <f>Cost!C5</f>
        <v>224000</v>
      </c>
      <c r="E11" s="12" t="str">
        <f>Cost!F17</f>
        <v>Flex</v>
      </c>
      <c r="F11" s="14">
        <f>Cost!G17</f>
        <v>60000</v>
      </c>
      <c r="G11" s="162">
        <f>Cost!H17</f>
        <v>33.491849999999999</v>
      </c>
      <c r="I11" s="45" t="str">
        <f>Financing!B3</f>
        <v>Line Item</v>
      </c>
      <c r="J11" s="46" t="str">
        <f>Financing!C3</f>
        <v>Amount</v>
      </c>
      <c r="K11" s="49" t="str">
        <f>Financing!D3</f>
        <v>%</v>
      </c>
    </row>
    <row r="12" spans="2:17" x14ac:dyDescent="0.2">
      <c r="B12" s="110" t="s">
        <v>20</v>
      </c>
      <c r="C12" s="113">
        <f>Cost!C6</f>
        <v>33000</v>
      </c>
      <c r="E12" s="12" t="str">
        <f>Cost!F18</f>
        <v>Parking</v>
      </c>
      <c r="F12" s="14">
        <f>Cost!G18</f>
        <v>281420</v>
      </c>
      <c r="G12" s="162">
        <f>Cost!H18</f>
        <v>1.29</v>
      </c>
      <c r="I12" s="12" t="str">
        <f>Financing!B4</f>
        <v>Project Cost</v>
      </c>
      <c r="J12" s="14">
        <f>Financing!C4</f>
        <v>8166946.7999999998</v>
      </c>
      <c r="K12" s="104">
        <f>Financing!D4</f>
        <v>1</v>
      </c>
      <c r="M12" s="178" t="s">
        <v>153</v>
      </c>
      <c r="N12" s="179"/>
    </row>
    <row r="13" spans="2:17" x14ac:dyDescent="0.2">
      <c r="B13" s="110" t="s">
        <v>13</v>
      </c>
      <c r="C13" s="113">
        <f>Cost!C7</f>
        <v>60000</v>
      </c>
      <c r="E13" s="12" t="str">
        <f>Cost!F19</f>
        <v>Parkspace</v>
      </c>
      <c r="F13" s="14">
        <f>Cost!G19</f>
        <v>50000</v>
      </c>
      <c r="G13" s="162">
        <f>Cost!H19</f>
        <v>19.288500000000003</v>
      </c>
      <c r="I13" s="12" t="str">
        <f>Financing!B5</f>
        <v>Loan</v>
      </c>
      <c r="J13" s="14">
        <f>Financing!C5</f>
        <v>4337050.5230550664</v>
      </c>
      <c r="K13" s="104">
        <f>Financing!D5</f>
        <v>0.53104919491517522</v>
      </c>
      <c r="M13" s="12" t="str">
        <f>'Pro Forma'!B12</f>
        <v>Ampitheater</v>
      </c>
      <c r="N13" s="40">
        <f>SUM('Pro Forma'!F26:P26)</f>
        <v>293945.68061397126</v>
      </c>
    </row>
    <row r="14" spans="2:17" x14ac:dyDescent="0.2">
      <c r="B14" s="110" t="s">
        <v>15</v>
      </c>
      <c r="C14" s="113">
        <f>Cost!D12</f>
        <v>281420</v>
      </c>
      <c r="E14" s="12" t="str">
        <f>Cost!F20</f>
        <v>Resturaunt</v>
      </c>
      <c r="F14" s="14">
        <f>Cost!G20</f>
        <v>20000</v>
      </c>
      <c r="G14" s="162">
        <f>Cost!H20</f>
        <v>38.577000000000005</v>
      </c>
      <c r="I14" s="12" t="str">
        <f>Financing!B6</f>
        <v>TAC</v>
      </c>
      <c r="J14" s="14">
        <f>Financing!C6</f>
        <v>3829896.2769449335</v>
      </c>
      <c r="K14" s="104">
        <f>Financing!D6</f>
        <v>0.46895080508482478</v>
      </c>
      <c r="M14" s="12" t="str">
        <f>'Pro Forma'!B13</f>
        <v>Education</v>
      </c>
      <c r="N14" s="40">
        <f>SUM('Pro Forma'!F39:P39)</f>
        <v>1432262.4550904497</v>
      </c>
    </row>
    <row r="15" spans="2:17" x14ac:dyDescent="0.2">
      <c r="B15" s="110" t="s">
        <v>21</v>
      </c>
      <c r="C15" s="113">
        <f>Cost!C8</f>
        <v>50000</v>
      </c>
      <c r="E15" s="12" t="str">
        <f>Cost!F21</f>
        <v>Retail</v>
      </c>
      <c r="F15" s="14">
        <f>Cost!G21</f>
        <v>56000</v>
      </c>
      <c r="G15" s="162">
        <f>Cost!H21</f>
        <v>35.07</v>
      </c>
      <c r="I15" s="63" t="str">
        <f>Financing!B7</f>
        <v>Total Financing</v>
      </c>
      <c r="J15" s="161">
        <f>Financing!C7</f>
        <v>8166946.7999999998</v>
      </c>
      <c r="K15" s="105">
        <f>Financing!D7</f>
        <v>1</v>
      </c>
      <c r="M15" s="12" t="str">
        <f>'Pro Forma'!B14</f>
        <v>Flex</v>
      </c>
      <c r="N15" s="40">
        <f>SUM('Pro Forma'!F52:P52)</f>
        <v>1397438.9010219763</v>
      </c>
    </row>
    <row r="16" spans="2:17" x14ac:dyDescent="0.2">
      <c r="B16" s="110" t="s">
        <v>158</v>
      </c>
      <c r="C16" s="113">
        <f>Cost!C9</f>
        <v>20000</v>
      </c>
      <c r="E16" s="15" t="str">
        <f>Cost!F22</f>
        <v>War Monument</v>
      </c>
      <c r="F16" s="164">
        <f>Cost!G22</f>
        <v>1000</v>
      </c>
      <c r="G16" s="165">
        <f>Cost!H22</f>
        <v>10.520999999999999</v>
      </c>
      <c r="M16" s="12" t="str">
        <f>'Pro Forma'!B15</f>
        <v>Resturaunt</v>
      </c>
      <c r="N16" s="40">
        <f>SUM('Pro Forma'!F65:P65)</f>
        <v>841136.07825420366</v>
      </c>
    </row>
    <row r="17" spans="2:14" x14ac:dyDescent="0.2">
      <c r="B17" s="110" t="s">
        <v>23</v>
      </c>
      <c r="C17" s="113">
        <f>Cost!C10</f>
        <v>56000</v>
      </c>
      <c r="M17" s="12" t="str">
        <f>'Pro Forma'!B16</f>
        <v>Retail</v>
      </c>
      <c r="N17" s="40">
        <f>SUM('Pro Forma'!F78:P78)</f>
        <v>2317957.9583118106</v>
      </c>
    </row>
    <row r="18" spans="2:14" x14ac:dyDescent="0.2">
      <c r="B18" s="110" t="s">
        <v>24</v>
      </c>
      <c r="C18" s="113">
        <f>Cost!C11</f>
        <v>1000</v>
      </c>
      <c r="E18" s="180" t="str">
        <f>Cost!F2</f>
        <v>Construction Cost per Use</v>
      </c>
      <c r="F18" s="181"/>
      <c r="G18" s="181"/>
      <c r="M18" s="63" t="s">
        <v>152</v>
      </c>
      <c r="N18" s="108">
        <f>SUM(N13:N17)</f>
        <v>6282741.0732924119</v>
      </c>
    </row>
    <row r="19" spans="2:14" x14ac:dyDescent="0.2">
      <c r="B19" s="111" t="s">
        <v>100</v>
      </c>
      <c r="C19" s="13"/>
      <c r="E19" s="45" t="str">
        <f>Cost!F3</f>
        <v>Use</v>
      </c>
      <c r="F19" s="163" t="str">
        <f>Cost!G3</f>
        <v>Use/Cost</v>
      </c>
      <c r="G19" s="49" t="str">
        <f>Cost!H3</f>
        <v>PSF/Cost</v>
      </c>
      <c r="M19" s="1"/>
      <c r="N19" s="14"/>
    </row>
    <row r="20" spans="2:14" x14ac:dyDescent="0.2">
      <c r="B20" s="109" t="s">
        <v>81</v>
      </c>
      <c r="C20" s="50" t="s">
        <v>72</v>
      </c>
      <c r="E20" s="12" t="str">
        <f>Cost!F4</f>
        <v>Ampitheater</v>
      </c>
      <c r="F20" s="14">
        <f>Cost!G4</f>
        <v>612150.96</v>
      </c>
      <c r="G20" s="162">
        <f>Cost!H4</f>
        <v>61.215095999999996</v>
      </c>
      <c r="M20" s="147"/>
      <c r="N20" s="166"/>
    </row>
    <row r="21" spans="2:14" x14ac:dyDescent="0.2">
      <c r="B21" s="109" t="s">
        <v>82</v>
      </c>
      <c r="C21" s="50" t="s">
        <v>86</v>
      </c>
      <c r="E21" s="12" t="str">
        <f>Cost!F5</f>
        <v>Education</v>
      </c>
      <c r="F21" s="14">
        <f>Cost!G5</f>
        <v>1657236.9600000002</v>
      </c>
      <c r="G21" s="162">
        <f>Cost!H5</f>
        <v>50.219301818181826</v>
      </c>
    </row>
    <row r="22" spans="2:14" x14ac:dyDescent="0.2">
      <c r="B22" s="109" t="s">
        <v>148</v>
      </c>
      <c r="C22" s="50" t="s">
        <v>118</v>
      </c>
      <c r="E22" s="12" t="str">
        <f>Cost!F6</f>
        <v>Flex</v>
      </c>
      <c r="F22" s="14">
        <f>Cost!G6</f>
        <v>2393706.96</v>
      </c>
      <c r="G22" s="162">
        <f>Cost!H6</f>
        <v>39.895116000000002</v>
      </c>
    </row>
    <row r="23" spans="2:14" x14ac:dyDescent="0.2">
      <c r="B23" s="111" t="s">
        <v>25</v>
      </c>
      <c r="C23" s="13"/>
      <c r="E23" s="12" t="str">
        <f>Cost!F7</f>
        <v>Resturaunt</v>
      </c>
      <c r="F23" s="14">
        <f>Cost!G7</f>
        <v>1155735.96</v>
      </c>
      <c r="G23" s="162">
        <f>Cost!H7</f>
        <v>57.786797999999997</v>
      </c>
    </row>
    <row r="24" spans="2:14" x14ac:dyDescent="0.2">
      <c r="B24" s="153" t="s">
        <v>147</v>
      </c>
      <c r="C24" s="154">
        <f>Cost!G9-Cost!G37-Cost!G55</f>
        <v>7001450.8287810702</v>
      </c>
      <c r="E24" s="12" t="str">
        <f>Cost!F8</f>
        <v>Retail</v>
      </c>
      <c r="F24" s="14">
        <f>Cost!G8</f>
        <v>2348115.96</v>
      </c>
      <c r="G24" s="162">
        <f>Cost!H8</f>
        <v>41.930642142857145</v>
      </c>
    </row>
    <row r="25" spans="2:14" x14ac:dyDescent="0.2">
      <c r="B25" s="153" t="s">
        <v>106</v>
      </c>
      <c r="C25" s="154">
        <f>Cost!G55</f>
        <v>249242</v>
      </c>
      <c r="E25" s="63" t="str">
        <f>Cost!F9</f>
        <v>Total Construction Costs</v>
      </c>
      <c r="F25" s="161">
        <f>Cost!G9</f>
        <v>8166946.7999999998</v>
      </c>
      <c r="G25" s="137">
        <f>Cost!H9</f>
        <v>45.625401117318432</v>
      </c>
    </row>
    <row r="26" spans="2:14" x14ac:dyDescent="0.2">
      <c r="B26" s="153" t="s">
        <v>159</v>
      </c>
      <c r="C26" s="154">
        <f>Cost!G37</f>
        <v>916253.97121892939</v>
      </c>
    </row>
    <row r="27" spans="2:14" x14ac:dyDescent="0.2">
      <c r="B27" s="153" t="s">
        <v>59</v>
      </c>
      <c r="C27" s="167">
        <f>SUM(C24:C26)</f>
        <v>8166946.7999999998</v>
      </c>
      <c r="E27" s="178" t="str">
        <f>Cost!B29</f>
        <v>Development Schedule</v>
      </c>
      <c r="F27" s="182"/>
      <c r="G27" s="179"/>
    </row>
    <row r="28" spans="2:14" ht="15" customHeight="1" x14ac:dyDescent="0.2">
      <c r="B28" s="153" t="s">
        <v>108</v>
      </c>
      <c r="C28" s="168">
        <f>Cost!H9</f>
        <v>45.625401117318432</v>
      </c>
      <c r="E28" s="37" t="str">
        <f>Cost!B30</f>
        <v>Phase Start</v>
      </c>
      <c r="F28" s="38" t="str">
        <f>Cost!C30</f>
        <v>Year 0</v>
      </c>
      <c r="G28" s="39" t="str">
        <f>Cost!D30</f>
        <v>Year 4</v>
      </c>
    </row>
    <row r="29" spans="2:14" x14ac:dyDescent="0.2">
      <c r="B29" s="152" t="s">
        <v>102</v>
      </c>
      <c r="C29" s="130"/>
      <c r="E29" s="12" t="str">
        <f>Cost!B31</f>
        <v>Phase</v>
      </c>
      <c r="F29" s="27" t="str">
        <f>Cost!C31</f>
        <v>Phase 1</v>
      </c>
      <c r="G29" s="26" t="str">
        <f>Cost!D31</f>
        <v>Phase 2</v>
      </c>
    </row>
    <row r="30" spans="2:14" x14ac:dyDescent="0.2">
      <c r="B30" s="155" t="s">
        <v>74</v>
      </c>
      <c r="C30" s="156"/>
      <c r="E30" s="15" t="str">
        <f>Cost!B32</f>
        <v>Use</v>
      </c>
      <c r="F30" s="43" t="str">
        <f>Cost!C32</f>
        <v>Buildout</v>
      </c>
      <c r="G30" s="44" t="str">
        <f>Cost!D32</f>
        <v>Buildout</v>
      </c>
    </row>
    <row r="31" spans="2:14" x14ac:dyDescent="0.2">
      <c r="B31" s="157" t="s">
        <v>103</v>
      </c>
      <c r="C31" s="158">
        <f>Financing!O10</f>
        <v>2503896.7704337579</v>
      </c>
      <c r="E31" s="140" t="str">
        <f>Cost!B33</f>
        <v>Ampitheater</v>
      </c>
      <c r="F31" s="149">
        <f>Cost!C33</f>
        <v>10000</v>
      </c>
      <c r="G31" s="151">
        <f>Cost!D33</f>
        <v>0</v>
      </c>
    </row>
    <row r="32" spans="2:14" x14ac:dyDescent="0.2">
      <c r="B32" s="157" t="s">
        <v>104</v>
      </c>
      <c r="C32" s="158">
        <f>Financing!O11</f>
        <v>2211102.8838519561</v>
      </c>
      <c r="E32" s="12" t="str">
        <f>Cost!B34</f>
        <v>Detention</v>
      </c>
      <c r="F32" s="29">
        <f>Cost!C34</f>
        <v>224000</v>
      </c>
      <c r="G32" s="31">
        <f>Cost!D34</f>
        <v>0</v>
      </c>
    </row>
    <row r="33" spans="2:7" x14ac:dyDescent="0.2">
      <c r="B33" s="159" t="s">
        <v>75</v>
      </c>
      <c r="C33" s="31"/>
      <c r="E33" s="140" t="str">
        <f>Cost!B35</f>
        <v>Education</v>
      </c>
      <c r="F33" s="149">
        <f>Cost!C35</f>
        <v>33000</v>
      </c>
      <c r="G33" s="151">
        <f>Cost!D35</f>
        <v>0</v>
      </c>
    </row>
    <row r="34" spans="2:7" ht="15" customHeight="1" x14ac:dyDescent="0.2">
      <c r="B34" s="160" t="s">
        <v>103</v>
      </c>
      <c r="C34" s="31">
        <f>Financing!S10</f>
        <v>1833155.8768180881</v>
      </c>
      <c r="E34" s="140" t="str">
        <f>Cost!B36</f>
        <v>Flex</v>
      </c>
      <c r="F34" s="149">
        <f>Cost!C36</f>
        <v>30000</v>
      </c>
      <c r="G34" s="151">
        <f>Cost!D36</f>
        <v>30000</v>
      </c>
    </row>
    <row r="35" spans="2:7" x14ac:dyDescent="0.2">
      <c r="B35" s="160" t="s">
        <v>104</v>
      </c>
      <c r="C35" s="31">
        <f>Financing!S11</f>
        <v>1618795.2688961977</v>
      </c>
      <c r="E35" s="12" t="str">
        <f>Cost!B37</f>
        <v>Parking</v>
      </c>
      <c r="F35" s="29">
        <f>Cost!C37</f>
        <v>140710</v>
      </c>
      <c r="G35" s="31">
        <f>Cost!D37</f>
        <v>140710</v>
      </c>
    </row>
    <row r="36" spans="2:7" x14ac:dyDescent="0.2">
      <c r="B36" s="21" t="s">
        <v>36</v>
      </c>
      <c r="C36" s="130"/>
      <c r="E36" s="12" t="str">
        <f>Cost!B38</f>
        <v>Parkspace</v>
      </c>
      <c r="F36" s="29">
        <f>Cost!C38</f>
        <v>25000</v>
      </c>
      <c r="G36" s="31">
        <f>Cost!D38</f>
        <v>25000</v>
      </c>
    </row>
    <row r="37" spans="2:7" x14ac:dyDescent="0.2">
      <c r="B37" s="153" t="s">
        <v>103</v>
      </c>
      <c r="C37" s="154">
        <f>SUM(C31,C34)</f>
        <v>4337052.6472518463</v>
      </c>
      <c r="E37" s="140" t="str">
        <f>Cost!B39</f>
        <v>Resturaunt</v>
      </c>
      <c r="F37" s="149">
        <f>Cost!C39</f>
        <v>10000</v>
      </c>
      <c r="G37" s="151">
        <f>Cost!D39</f>
        <v>10000</v>
      </c>
    </row>
    <row r="38" spans="2:7" x14ac:dyDescent="0.2">
      <c r="B38" s="153" t="s">
        <v>104</v>
      </c>
      <c r="C38" s="154">
        <f>SUM(C32,C35)</f>
        <v>3829898.1527481535</v>
      </c>
      <c r="E38" s="140" t="str">
        <f>Cost!B40</f>
        <v>Retail</v>
      </c>
      <c r="F38" s="149">
        <f>Cost!C40</f>
        <v>16000</v>
      </c>
      <c r="G38" s="151">
        <f>Cost!D40</f>
        <v>40000</v>
      </c>
    </row>
    <row r="39" spans="2:7" x14ac:dyDescent="0.2">
      <c r="B39" s="111" t="s">
        <v>99</v>
      </c>
      <c r="C39" s="13"/>
      <c r="E39" s="12" t="str">
        <f>Cost!B41</f>
        <v>War Monument</v>
      </c>
      <c r="F39" s="29">
        <f>Cost!C41</f>
        <v>1000</v>
      </c>
      <c r="G39" s="31">
        <f>Cost!D41</f>
        <v>0</v>
      </c>
    </row>
    <row r="40" spans="2:7" x14ac:dyDescent="0.2">
      <c r="B40" s="12" t="s">
        <v>109</v>
      </c>
      <c r="C40" s="40">
        <f>'Equity Repayment'!P6</f>
        <v>2323591.952783714</v>
      </c>
      <c r="E40" s="63" t="str">
        <f>Cost!B42</f>
        <v>Project</v>
      </c>
      <c r="F40" s="83">
        <f>Cost!C42</f>
        <v>489710</v>
      </c>
      <c r="G40" s="85">
        <f>Cost!D42</f>
        <v>245710</v>
      </c>
    </row>
    <row r="41" spans="2:7" x14ac:dyDescent="0.2">
      <c r="B41" s="12" t="s">
        <v>12</v>
      </c>
      <c r="C41" s="104">
        <f>'Equity Repayment'!P5</f>
        <v>7.2128046217627029E-2</v>
      </c>
    </row>
    <row r="42" spans="2:7" x14ac:dyDescent="0.2">
      <c r="B42" s="15" t="s">
        <v>110</v>
      </c>
      <c r="C42" s="114">
        <f>'Equity Repayment'!P7</f>
        <v>1.6404459916993392</v>
      </c>
    </row>
  </sheetData>
  <mergeCells count="9">
    <mergeCell ref="P5:Q5"/>
    <mergeCell ref="M5:N5"/>
    <mergeCell ref="B5:C5"/>
    <mergeCell ref="M12:N12"/>
    <mergeCell ref="E5:G5"/>
    <mergeCell ref="E18:G18"/>
    <mergeCell ref="I10:K10"/>
    <mergeCell ref="I5:J5"/>
    <mergeCell ref="E27:G2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B6AB7-2FED-4456-95F3-11218350AC25}">
  <dimension ref="B2:V81"/>
  <sheetViews>
    <sheetView showGridLines="0" zoomScaleNormal="100" workbookViewId="0"/>
  </sheetViews>
  <sheetFormatPr defaultRowHeight="12.75" x14ac:dyDescent="0.2"/>
  <cols>
    <col min="1" max="1" width="3.5703125" style="2" customWidth="1"/>
    <col min="2" max="2" width="13.7109375" style="2" bestFit="1" customWidth="1"/>
    <col min="3" max="3" width="11" style="2" bestFit="1" customWidth="1"/>
    <col min="4" max="4" width="9.28515625" style="2" bestFit="1" customWidth="1"/>
    <col min="5" max="5" width="3.5703125" style="2" customWidth="1"/>
    <col min="6" max="6" width="20.140625" style="2" bestFit="1" customWidth="1"/>
    <col min="7" max="7" width="12.42578125" style="2" bestFit="1" customWidth="1"/>
    <col min="8" max="8" width="10.7109375" style="2" customWidth="1"/>
    <col min="9" max="9" width="3.5703125" style="2" customWidth="1"/>
    <col min="10" max="10" width="13.140625" style="2" customWidth="1"/>
    <col min="11" max="11" width="12.42578125" style="2" bestFit="1" customWidth="1"/>
    <col min="12" max="12" width="11" style="2" bestFit="1" customWidth="1"/>
    <col min="13" max="14" width="10.5703125" style="2" bestFit="1" customWidth="1"/>
    <col min="15" max="15" width="12.42578125" style="2" bestFit="1" customWidth="1"/>
    <col min="16" max="22" width="10.5703125" style="2" bestFit="1" customWidth="1"/>
    <col min="23" max="16384" width="9.140625" style="2"/>
  </cols>
  <sheetData>
    <row r="2" spans="2:22" ht="15" customHeight="1" x14ac:dyDescent="0.2">
      <c r="B2" s="178" t="s">
        <v>132</v>
      </c>
      <c r="C2" s="182"/>
      <c r="D2" s="179"/>
      <c r="F2" s="178" t="s">
        <v>133</v>
      </c>
      <c r="G2" s="182"/>
      <c r="H2" s="179"/>
      <c r="J2" s="183" t="s">
        <v>136</v>
      </c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5"/>
    </row>
    <row r="3" spans="2:22" x14ac:dyDescent="0.2">
      <c r="B3" s="45" t="s">
        <v>14</v>
      </c>
      <c r="C3" s="46" t="s">
        <v>26</v>
      </c>
      <c r="D3" s="49" t="s">
        <v>15</v>
      </c>
      <c r="F3" s="121" t="s">
        <v>14</v>
      </c>
      <c r="G3" s="122" t="s">
        <v>35</v>
      </c>
      <c r="H3" s="123" t="s">
        <v>17</v>
      </c>
      <c r="J3" s="56" t="s">
        <v>85</v>
      </c>
      <c r="K3" s="186" t="s">
        <v>74</v>
      </c>
      <c r="L3" s="187"/>
      <c r="M3" s="187"/>
      <c r="N3" s="188"/>
      <c r="O3" s="189" t="s">
        <v>75</v>
      </c>
      <c r="P3" s="190"/>
      <c r="Q3" s="190"/>
      <c r="R3" s="190"/>
      <c r="S3" s="190"/>
      <c r="T3" s="190"/>
      <c r="U3" s="190"/>
      <c r="V3" s="191"/>
    </row>
    <row r="4" spans="2:22" x14ac:dyDescent="0.2">
      <c r="B4" s="12" t="s">
        <v>18</v>
      </c>
      <c r="C4" s="69">
        <v>10000</v>
      </c>
      <c r="D4" s="70">
        <v>26000</v>
      </c>
      <c r="F4" s="127" t="s">
        <v>18</v>
      </c>
      <c r="G4" s="125">
        <f>(G14*H14)+(0.2*G15*H15)+(0.2*G18*H18)+(0.2*G19*H19)+(0.2*G22*H22)+(0.2*G55)</f>
        <v>612150.96</v>
      </c>
      <c r="H4" s="129">
        <f>G4/G14</f>
        <v>61.215095999999996</v>
      </c>
      <c r="J4" s="56" t="s">
        <v>58</v>
      </c>
      <c r="K4" s="55">
        <v>0</v>
      </c>
      <c r="L4" s="53">
        <v>1</v>
      </c>
      <c r="M4" s="53">
        <v>2</v>
      </c>
      <c r="N4" s="57">
        <v>3</v>
      </c>
      <c r="O4" s="58">
        <v>4</v>
      </c>
      <c r="P4" s="54">
        <v>5</v>
      </c>
      <c r="Q4" s="54">
        <v>6</v>
      </c>
      <c r="R4" s="54">
        <v>7</v>
      </c>
      <c r="S4" s="54">
        <v>8</v>
      </c>
      <c r="T4" s="54">
        <v>9</v>
      </c>
      <c r="U4" s="54">
        <v>10</v>
      </c>
      <c r="V4" s="48">
        <v>11</v>
      </c>
    </row>
    <row r="5" spans="2:22" x14ac:dyDescent="0.2">
      <c r="B5" s="12" t="s">
        <v>19</v>
      </c>
      <c r="C5" s="69">
        <v>224000</v>
      </c>
      <c r="D5" s="119" t="s">
        <v>83</v>
      </c>
      <c r="F5" s="124" t="s">
        <v>20</v>
      </c>
      <c r="G5" s="125">
        <f>(G16*H16)+(0.2*G15*H15)+(0.2*G18*H18)+(0.2*G19*H19)+(0.2*G22*H22)+(0.2*G55)</f>
        <v>1657236.9600000002</v>
      </c>
      <c r="H5" s="129">
        <f>G5/G16</f>
        <v>50.219301818181826</v>
      </c>
      <c r="J5" s="56" t="s">
        <v>18</v>
      </c>
      <c r="K5" s="23">
        <f>C18*G4</f>
        <v>612150.96</v>
      </c>
      <c r="L5" s="23"/>
      <c r="M5" s="23"/>
      <c r="N5" s="117"/>
      <c r="O5" s="24">
        <f>D18*G4</f>
        <v>0</v>
      </c>
      <c r="P5" s="24"/>
      <c r="Q5" s="24"/>
      <c r="R5" s="24"/>
      <c r="S5" s="24"/>
      <c r="T5" s="24"/>
      <c r="U5" s="24"/>
      <c r="V5" s="25"/>
    </row>
    <row r="6" spans="2:22" x14ac:dyDescent="0.2">
      <c r="B6" s="12" t="s">
        <v>20</v>
      </c>
      <c r="C6" s="69">
        <v>33000</v>
      </c>
      <c r="D6" s="70">
        <v>56760</v>
      </c>
      <c r="F6" s="124" t="s">
        <v>13</v>
      </c>
      <c r="G6" s="125">
        <f>(G17*H17)+(0.2*G15*H15)+(0.2*G18*H18)+(0.2*G19*H19)+(0.2*G22*H22)+(0.2*G55)</f>
        <v>2393706.96</v>
      </c>
      <c r="H6" s="129">
        <f>G6/G17</f>
        <v>39.895116000000002</v>
      </c>
      <c r="J6" s="56" t="s">
        <v>20</v>
      </c>
      <c r="K6" s="23">
        <f>C20*G5</f>
        <v>1657236.9600000002</v>
      </c>
      <c r="L6" s="23"/>
      <c r="M6" s="23"/>
      <c r="N6" s="117"/>
      <c r="O6" s="24">
        <f>D20*G5</f>
        <v>0</v>
      </c>
      <c r="P6" s="24"/>
      <c r="Q6" s="24"/>
      <c r="R6" s="24"/>
      <c r="S6" s="24"/>
      <c r="T6" s="24"/>
      <c r="U6" s="24"/>
      <c r="V6" s="25"/>
    </row>
    <row r="7" spans="2:22" x14ac:dyDescent="0.2">
      <c r="B7" s="12" t="s">
        <v>13</v>
      </c>
      <c r="C7" s="69">
        <v>60000</v>
      </c>
      <c r="D7" s="119" t="s">
        <v>83</v>
      </c>
      <c r="F7" s="124" t="s">
        <v>22</v>
      </c>
      <c r="G7" s="125">
        <f>(G20*H20)+(0.2*G15*H15)+(0.2*G18*H18)+(0.2*G19*H19)+(0.2*G22*H22)+(0.2*G55)</f>
        <v>1155735.96</v>
      </c>
      <c r="H7" s="129">
        <f>G7/G20</f>
        <v>57.786797999999997</v>
      </c>
      <c r="J7" s="56" t="s">
        <v>13</v>
      </c>
      <c r="K7" s="23">
        <f>C21*G6</f>
        <v>1196853.48</v>
      </c>
      <c r="L7" s="23"/>
      <c r="M7" s="23"/>
      <c r="N7" s="117"/>
      <c r="O7" s="24">
        <f>D21*G6</f>
        <v>1196853.48</v>
      </c>
      <c r="P7" s="24"/>
      <c r="Q7" s="24"/>
      <c r="R7" s="24"/>
      <c r="S7" s="24"/>
      <c r="T7" s="24"/>
      <c r="U7" s="24"/>
      <c r="V7" s="25"/>
    </row>
    <row r="8" spans="2:22" x14ac:dyDescent="0.2">
      <c r="B8" s="12" t="s">
        <v>21</v>
      </c>
      <c r="C8" s="69">
        <v>50000</v>
      </c>
      <c r="D8" s="119" t="s">
        <v>83</v>
      </c>
      <c r="F8" s="124" t="s">
        <v>23</v>
      </c>
      <c r="G8" s="125">
        <f>(G21*H21)+(0.2*G15*H15)+(0.2*G18*H18)+(0.2*G19*H19)+(0.2*G22*H22)+(0.2*G55)</f>
        <v>2348115.96</v>
      </c>
      <c r="H8" s="129">
        <f>G8/G21</f>
        <v>41.930642142857145</v>
      </c>
      <c r="J8" s="56" t="s">
        <v>22</v>
      </c>
      <c r="K8" s="23">
        <f>C24*G7</f>
        <v>577867.98</v>
      </c>
      <c r="L8" s="23"/>
      <c r="M8" s="23"/>
      <c r="N8" s="117"/>
      <c r="O8" s="24">
        <f>D24*G7</f>
        <v>577867.98</v>
      </c>
      <c r="P8" s="24"/>
      <c r="Q8" s="24"/>
      <c r="R8" s="24"/>
      <c r="S8" s="24"/>
      <c r="T8" s="24"/>
      <c r="U8" s="24"/>
      <c r="V8" s="25"/>
    </row>
    <row r="9" spans="2:22" x14ac:dyDescent="0.2">
      <c r="B9" s="12" t="s">
        <v>22</v>
      </c>
      <c r="C9" s="69">
        <v>20000</v>
      </c>
      <c r="D9" s="70">
        <v>51600</v>
      </c>
      <c r="F9" s="126" t="s">
        <v>134</v>
      </c>
      <c r="G9" s="132">
        <f>SUM(G4:G8)</f>
        <v>8166946.7999999998</v>
      </c>
      <c r="H9" s="133">
        <f>G9/SUM(G14,G16,G17,G20,G21)</f>
        <v>45.625401117318432</v>
      </c>
      <c r="J9" s="56" t="s">
        <v>23</v>
      </c>
      <c r="K9" s="23">
        <f>C25*G8</f>
        <v>670890.27428571426</v>
      </c>
      <c r="L9" s="23"/>
      <c r="M9" s="23"/>
      <c r="N9" s="117"/>
      <c r="O9" s="24">
        <f>D25*G8</f>
        <v>1677225.6857142858</v>
      </c>
      <c r="P9" s="24"/>
      <c r="Q9" s="24"/>
      <c r="R9" s="24"/>
      <c r="S9" s="24"/>
      <c r="T9" s="24"/>
      <c r="U9" s="24"/>
      <c r="V9" s="25"/>
    </row>
    <row r="10" spans="2:22" x14ac:dyDescent="0.2">
      <c r="B10" s="12" t="s">
        <v>23</v>
      </c>
      <c r="C10" s="69">
        <v>56000</v>
      </c>
      <c r="D10" s="70">
        <v>147060</v>
      </c>
      <c r="J10" s="59" t="s">
        <v>36</v>
      </c>
      <c r="K10" s="60">
        <f>SUM(K4:K9)</f>
        <v>4714999.654285714</v>
      </c>
      <c r="L10" s="60"/>
      <c r="M10" s="60"/>
      <c r="N10" s="60"/>
      <c r="O10" s="61">
        <f>SUM(O4:O9)</f>
        <v>3451951.1457142858</v>
      </c>
      <c r="P10" s="61"/>
      <c r="Q10" s="61"/>
      <c r="R10" s="61"/>
      <c r="S10" s="61"/>
      <c r="T10" s="61"/>
      <c r="U10" s="61"/>
      <c r="V10" s="62"/>
    </row>
    <row r="11" spans="2:22" x14ac:dyDescent="0.2">
      <c r="B11" s="12" t="s">
        <v>24</v>
      </c>
      <c r="C11" s="69">
        <v>1000</v>
      </c>
      <c r="D11" s="119" t="s">
        <v>83</v>
      </c>
      <c r="F11" s="178" t="s">
        <v>144</v>
      </c>
      <c r="G11" s="182"/>
      <c r="H11" s="179"/>
    </row>
    <row r="12" spans="2:22" x14ac:dyDescent="0.2">
      <c r="B12" s="63" t="s">
        <v>36</v>
      </c>
      <c r="C12" s="73">
        <f>SUM(C4:C11)</f>
        <v>454000</v>
      </c>
      <c r="D12" s="74">
        <f>SUM(D4:D11)</f>
        <v>281420</v>
      </c>
      <c r="F12" s="45" t="s">
        <v>14</v>
      </c>
      <c r="G12" s="46" t="s">
        <v>78</v>
      </c>
      <c r="H12" s="49" t="s">
        <v>17</v>
      </c>
      <c r="J12" s="183" t="s">
        <v>76</v>
      </c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5"/>
    </row>
    <row r="13" spans="2:22" x14ac:dyDescent="0.2">
      <c r="F13" s="37" t="s">
        <v>71</v>
      </c>
      <c r="G13" s="120">
        <f>35*43560</f>
        <v>1524600</v>
      </c>
      <c r="H13" s="128">
        <f>25000/43560</f>
        <v>0.57392102846648296</v>
      </c>
      <c r="J13" s="56" t="s">
        <v>85</v>
      </c>
      <c r="K13" s="186" t="s">
        <v>74</v>
      </c>
      <c r="L13" s="187"/>
      <c r="M13" s="187"/>
      <c r="N13" s="188"/>
      <c r="O13" s="189" t="s">
        <v>75</v>
      </c>
      <c r="P13" s="190"/>
      <c r="Q13" s="190"/>
      <c r="R13" s="190"/>
      <c r="S13" s="190"/>
      <c r="T13" s="190"/>
      <c r="U13" s="190"/>
      <c r="V13" s="191"/>
    </row>
    <row r="14" spans="2:22" ht="15" customHeight="1" x14ac:dyDescent="0.2">
      <c r="B14" s="178" t="s">
        <v>38</v>
      </c>
      <c r="C14" s="182"/>
      <c r="D14" s="179"/>
      <c r="F14" s="12" t="s">
        <v>18</v>
      </c>
      <c r="G14" s="69">
        <v>10000</v>
      </c>
      <c r="H14" s="129">
        <f>H21*0.65</f>
        <v>22.795500000000001</v>
      </c>
      <c r="J14" s="56" t="s">
        <v>58</v>
      </c>
      <c r="K14" s="55">
        <v>0</v>
      </c>
      <c r="L14" s="53">
        <v>1</v>
      </c>
      <c r="M14" s="53">
        <v>2</v>
      </c>
      <c r="N14" s="57">
        <v>3</v>
      </c>
      <c r="O14" s="58">
        <v>4</v>
      </c>
      <c r="P14" s="54">
        <v>5</v>
      </c>
      <c r="Q14" s="54">
        <v>6</v>
      </c>
      <c r="R14" s="54">
        <v>7</v>
      </c>
      <c r="S14" s="54">
        <v>8</v>
      </c>
      <c r="T14" s="54">
        <v>9</v>
      </c>
      <c r="U14" s="54">
        <v>10</v>
      </c>
      <c r="V14" s="48">
        <v>11</v>
      </c>
    </row>
    <row r="15" spans="2:22" x14ac:dyDescent="0.2">
      <c r="B15" s="37" t="s">
        <v>89</v>
      </c>
      <c r="C15" s="38" t="s">
        <v>72</v>
      </c>
      <c r="D15" s="39" t="s">
        <v>86</v>
      </c>
      <c r="F15" s="21" t="s">
        <v>19</v>
      </c>
      <c r="G15" s="125">
        <v>224000</v>
      </c>
      <c r="H15" s="129">
        <v>1.49</v>
      </c>
      <c r="J15" s="56" t="s">
        <v>18</v>
      </c>
      <c r="K15" s="23">
        <f>C4*C18</f>
        <v>10000</v>
      </c>
      <c r="L15" s="23"/>
      <c r="M15" s="23"/>
      <c r="N15" s="23"/>
      <c r="O15" s="24">
        <v>0</v>
      </c>
      <c r="P15" s="24"/>
      <c r="Q15" s="24"/>
      <c r="R15" s="24"/>
      <c r="S15" s="24"/>
      <c r="T15" s="24"/>
      <c r="U15" s="24"/>
      <c r="V15" s="25"/>
    </row>
    <row r="16" spans="2:22" x14ac:dyDescent="0.2">
      <c r="B16" s="12" t="s">
        <v>85</v>
      </c>
      <c r="C16" s="27" t="s">
        <v>74</v>
      </c>
      <c r="D16" s="26" t="s">
        <v>75</v>
      </c>
      <c r="F16" s="21" t="s">
        <v>20</v>
      </c>
      <c r="G16" s="125">
        <v>33000</v>
      </c>
      <c r="H16" s="129">
        <f>H21*1.1</f>
        <v>38.577000000000005</v>
      </c>
      <c r="J16" s="56" t="s">
        <v>20</v>
      </c>
      <c r="K16" s="23">
        <f>C6*C20</f>
        <v>33000</v>
      </c>
      <c r="L16" s="23"/>
      <c r="M16" s="23"/>
      <c r="N16" s="23"/>
      <c r="O16" s="24">
        <f>C6*D20</f>
        <v>0</v>
      </c>
      <c r="P16" s="24"/>
      <c r="Q16" s="24"/>
      <c r="R16" s="24"/>
      <c r="S16" s="24"/>
      <c r="T16" s="24"/>
      <c r="U16" s="24"/>
      <c r="V16" s="25"/>
    </row>
    <row r="17" spans="2:22" x14ac:dyDescent="0.2">
      <c r="B17" s="15" t="s">
        <v>14</v>
      </c>
      <c r="C17" s="43" t="s">
        <v>73</v>
      </c>
      <c r="D17" s="44" t="s">
        <v>73</v>
      </c>
      <c r="F17" s="21" t="s">
        <v>13</v>
      </c>
      <c r="G17" s="125">
        <v>60000</v>
      </c>
      <c r="H17" s="129">
        <f>H21*0.955</f>
        <v>33.491849999999999</v>
      </c>
      <c r="J17" s="56" t="s">
        <v>13</v>
      </c>
      <c r="K17" s="23">
        <f>C7*C21</f>
        <v>30000</v>
      </c>
      <c r="L17" s="23"/>
      <c r="M17" s="23"/>
      <c r="N17" s="23"/>
      <c r="O17" s="24">
        <f>C7*D21</f>
        <v>30000</v>
      </c>
      <c r="P17" s="24"/>
      <c r="Q17" s="24"/>
      <c r="R17" s="24"/>
      <c r="S17" s="24"/>
      <c r="T17" s="24"/>
      <c r="U17" s="24"/>
      <c r="V17" s="25"/>
    </row>
    <row r="18" spans="2:22" x14ac:dyDescent="0.2">
      <c r="B18" s="12" t="s">
        <v>18</v>
      </c>
      <c r="C18" s="67">
        <v>1</v>
      </c>
      <c r="D18" s="68">
        <f>1-C18</f>
        <v>0</v>
      </c>
      <c r="F18" s="21" t="s">
        <v>15</v>
      </c>
      <c r="G18" s="134">
        <f>D12</f>
        <v>281420</v>
      </c>
      <c r="H18" s="129">
        <v>1.29</v>
      </c>
      <c r="J18" s="56" t="s">
        <v>22</v>
      </c>
      <c r="K18" s="23">
        <f>C9*C24</f>
        <v>10000</v>
      </c>
      <c r="L18" s="23"/>
      <c r="M18" s="23"/>
      <c r="N18" s="23"/>
      <c r="O18" s="24">
        <f>C9*D24</f>
        <v>10000</v>
      </c>
      <c r="P18" s="24"/>
      <c r="Q18" s="24"/>
      <c r="R18" s="24"/>
      <c r="S18" s="24"/>
      <c r="T18" s="24"/>
      <c r="U18" s="24"/>
      <c r="V18" s="25"/>
    </row>
    <row r="19" spans="2:22" x14ac:dyDescent="0.2">
      <c r="B19" s="12" t="s">
        <v>19</v>
      </c>
      <c r="C19" s="67">
        <v>1</v>
      </c>
      <c r="D19" s="68">
        <f t="shared" ref="D19:D27" si="0">1-C19</f>
        <v>0</v>
      </c>
      <c r="F19" s="21" t="s">
        <v>21</v>
      </c>
      <c r="G19" s="125">
        <v>50000</v>
      </c>
      <c r="H19" s="129">
        <f>H21*0.55</f>
        <v>19.288500000000003</v>
      </c>
      <c r="J19" s="56" t="s">
        <v>23</v>
      </c>
      <c r="K19" s="23">
        <f>C10*C25</f>
        <v>16000</v>
      </c>
      <c r="L19" s="23"/>
      <c r="M19" s="23"/>
      <c r="N19" s="23"/>
      <c r="O19" s="24">
        <f>C10*D25</f>
        <v>40000</v>
      </c>
      <c r="P19" s="24"/>
      <c r="Q19" s="24"/>
      <c r="R19" s="24"/>
      <c r="S19" s="24"/>
      <c r="T19" s="24"/>
      <c r="U19" s="24"/>
      <c r="V19" s="25"/>
    </row>
    <row r="20" spans="2:22" x14ac:dyDescent="0.2">
      <c r="B20" s="12" t="s">
        <v>20</v>
      </c>
      <c r="C20" s="67">
        <v>1</v>
      </c>
      <c r="D20" s="68">
        <f t="shared" si="0"/>
        <v>0</v>
      </c>
      <c r="F20" s="21" t="s">
        <v>22</v>
      </c>
      <c r="G20" s="125">
        <v>20000</v>
      </c>
      <c r="H20" s="129">
        <f>H21*1.1</f>
        <v>38.577000000000005</v>
      </c>
      <c r="J20" s="59" t="s">
        <v>36</v>
      </c>
      <c r="K20" s="60">
        <f>SUM(K15:K19)</f>
        <v>99000</v>
      </c>
      <c r="L20" s="60"/>
      <c r="M20" s="60"/>
      <c r="N20" s="60"/>
      <c r="O20" s="61">
        <f>SUM(O15:O19)</f>
        <v>80000</v>
      </c>
      <c r="P20" s="61"/>
      <c r="Q20" s="61"/>
      <c r="R20" s="61"/>
      <c r="S20" s="61"/>
      <c r="T20" s="61"/>
      <c r="U20" s="61"/>
      <c r="V20" s="62"/>
    </row>
    <row r="21" spans="2:22" x14ac:dyDescent="0.2">
      <c r="B21" s="12" t="s">
        <v>13</v>
      </c>
      <c r="C21" s="67">
        <v>0.5</v>
      </c>
      <c r="D21" s="68">
        <f>1-C21</f>
        <v>0.5</v>
      </c>
      <c r="F21" s="21" t="s">
        <v>23</v>
      </c>
      <c r="G21" s="125">
        <v>56000</v>
      </c>
      <c r="H21" s="129">
        <v>35.07</v>
      </c>
    </row>
    <row r="22" spans="2:22" ht="12.75" customHeight="1" x14ac:dyDescent="0.2">
      <c r="B22" s="12" t="s">
        <v>15</v>
      </c>
      <c r="C22" s="67">
        <v>0.5</v>
      </c>
      <c r="D22" s="68">
        <f>1-C22</f>
        <v>0.5</v>
      </c>
      <c r="F22" s="135" t="s">
        <v>24</v>
      </c>
      <c r="G22" s="136">
        <v>1000</v>
      </c>
      <c r="H22" s="131">
        <f>H21*0.3</f>
        <v>10.520999999999999</v>
      </c>
      <c r="J22" s="183" t="s">
        <v>77</v>
      </c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5"/>
    </row>
    <row r="23" spans="2:22" x14ac:dyDescent="0.2">
      <c r="B23" s="12" t="s">
        <v>21</v>
      </c>
      <c r="C23" s="67">
        <v>0.5</v>
      </c>
      <c r="D23" s="68">
        <f t="shared" si="0"/>
        <v>0.5</v>
      </c>
      <c r="J23" s="56" t="s">
        <v>85</v>
      </c>
      <c r="K23" s="186" t="s">
        <v>74</v>
      </c>
      <c r="L23" s="187"/>
      <c r="M23" s="187"/>
      <c r="N23" s="188"/>
      <c r="O23" s="189" t="s">
        <v>75</v>
      </c>
      <c r="P23" s="190"/>
      <c r="Q23" s="190"/>
      <c r="R23" s="190"/>
      <c r="S23" s="190"/>
      <c r="T23" s="190"/>
      <c r="U23" s="190"/>
      <c r="V23" s="191"/>
    </row>
    <row r="24" spans="2:22" x14ac:dyDescent="0.2">
      <c r="B24" s="12" t="s">
        <v>22</v>
      </c>
      <c r="C24" s="67">
        <v>0.5</v>
      </c>
      <c r="D24" s="68">
        <f t="shared" si="0"/>
        <v>0.5</v>
      </c>
      <c r="F24" s="178" t="s">
        <v>111</v>
      </c>
      <c r="G24" s="179"/>
      <c r="J24" s="56" t="s">
        <v>58</v>
      </c>
      <c r="K24" s="55">
        <v>0</v>
      </c>
      <c r="L24" s="53">
        <v>1</v>
      </c>
      <c r="M24" s="53">
        <v>2</v>
      </c>
      <c r="N24" s="57">
        <v>3</v>
      </c>
      <c r="O24" s="58">
        <v>4</v>
      </c>
      <c r="P24" s="54">
        <v>5</v>
      </c>
      <c r="Q24" s="54">
        <v>6</v>
      </c>
      <c r="R24" s="54">
        <v>7</v>
      </c>
      <c r="S24" s="54">
        <v>8</v>
      </c>
      <c r="T24" s="54">
        <v>9</v>
      </c>
      <c r="U24" s="54">
        <v>10</v>
      </c>
      <c r="V24" s="48">
        <v>11</v>
      </c>
    </row>
    <row r="25" spans="2:22" x14ac:dyDescent="0.2">
      <c r="B25" s="12" t="s">
        <v>23</v>
      </c>
      <c r="C25" s="67">
        <v>0.2857142857142857</v>
      </c>
      <c r="D25" s="68">
        <f t="shared" si="0"/>
        <v>0.7142857142857143</v>
      </c>
      <c r="F25" s="45" t="s">
        <v>47</v>
      </c>
      <c r="G25" s="49" t="s">
        <v>25</v>
      </c>
      <c r="J25" s="56" t="s">
        <v>18</v>
      </c>
      <c r="K25" s="23">
        <v>0</v>
      </c>
      <c r="L25" s="23">
        <f t="shared" ref="L25:L30" si="1">K15</f>
        <v>10000</v>
      </c>
      <c r="M25" s="23">
        <f t="shared" ref="M25:V25" si="2">M15+L25</f>
        <v>10000</v>
      </c>
      <c r="N25" s="23">
        <f t="shared" si="2"/>
        <v>10000</v>
      </c>
      <c r="O25" s="24">
        <f t="shared" si="2"/>
        <v>10000</v>
      </c>
      <c r="P25" s="24">
        <f t="shared" si="2"/>
        <v>10000</v>
      </c>
      <c r="Q25" s="24">
        <f t="shared" si="2"/>
        <v>10000</v>
      </c>
      <c r="R25" s="24">
        <f t="shared" si="2"/>
        <v>10000</v>
      </c>
      <c r="S25" s="24">
        <f t="shared" si="2"/>
        <v>10000</v>
      </c>
      <c r="T25" s="24">
        <f t="shared" si="2"/>
        <v>10000</v>
      </c>
      <c r="U25" s="24">
        <f t="shared" si="2"/>
        <v>10000</v>
      </c>
      <c r="V25" s="25">
        <f t="shared" si="2"/>
        <v>10000</v>
      </c>
    </row>
    <row r="26" spans="2:22" ht="12.75" customHeight="1" x14ac:dyDescent="0.2">
      <c r="B26" s="12" t="s">
        <v>24</v>
      </c>
      <c r="C26" s="67">
        <v>1</v>
      </c>
      <c r="D26" s="68">
        <f t="shared" si="0"/>
        <v>0</v>
      </c>
      <c r="F26" s="12" t="s">
        <v>72</v>
      </c>
      <c r="G26" s="40">
        <f>Financing!O19</f>
        <v>250389.67704337579</v>
      </c>
      <c r="J26" s="56" t="s">
        <v>20</v>
      </c>
      <c r="K26" s="23">
        <v>0</v>
      </c>
      <c r="L26" s="23">
        <f t="shared" si="1"/>
        <v>33000</v>
      </c>
      <c r="M26" s="23">
        <f t="shared" ref="M26:V26" si="3">M16+L26</f>
        <v>33000</v>
      </c>
      <c r="N26" s="23">
        <f t="shared" si="3"/>
        <v>33000</v>
      </c>
      <c r="O26" s="24">
        <f t="shared" si="3"/>
        <v>33000</v>
      </c>
      <c r="P26" s="24">
        <f t="shared" si="3"/>
        <v>33000</v>
      </c>
      <c r="Q26" s="24">
        <f t="shared" si="3"/>
        <v>33000</v>
      </c>
      <c r="R26" s="24">
        <f t="shared" si="3"/>
        <v>33000</v>
      </c>
      <c r="S26" s="24">
        <f t="shared" si="3"/>
        <v>33000</v>
      </c>
      <c r="T26" s="24">
        <f t="shared" si="3"/>
        <v>33000</v>
      </c>
      <c r="U26" s="24">
        <f t="shared" si="3"/>
        <v>33000</v>
      </c>
      <c r="V26" s="25">
        <f t="shared" si="3"/>
        <v>33000</v>
      </c>
    </row>
    <row r="27" spans="2:22" x14ac:dyDescent="0.2">
      <c r="B27" s="63" t="s">
        <v>36</v>
      </c>
      <c r="C27" s="106">
        <v>0.6</v>
      </c>
      <c r="D27" s="107">
        <f t="shared" si="0"/>
        <v>0.4</v>
      </c>
      <c r="F27" s="12" t="s">
        <v>112</v>
      </c>
      <c r="G27" s="40">
        <f>Financing!P19</f>
        <v>179806.17704337576</v>
      </c>
      <c r="J27" s="56" t="s">
        <v>13</v>
      </c>
      <c r="K27" s="23">
        <v>0</v>
      </c>
      <c r="L27" s="23">
        <f t="shared" si="1"/>
        <v>30000</v>
      </c>
      <c r="M27" s="23">
        <f t="shared" ref="M27:V27" si="4">M17+L27</f>
        <v>30000</v>
      </c>
      <c r="N27" s="23">
        <f t="shared" si="4"/>
        <v>30000</v>
      </c>
      <c r="O27" s="24">
        <f t="shared" si="4"/>
        <v>60000</v>
      </c>
      <c r="P27" s="24">
        <f t="shared" si="4"/>
        <v>60000</v>
      </c>
      <c r="Q27" s="24">
        <f t="shared" si="4"/>
        <v>60000</v>
      </c>
      <c r="R27" s="24">
        <f t="shared" si="4"/>
        <v>60000</v>
      </c>
      <c r="S27" s="24">
        <f t="shared" si="4"/>
        <v>60000</v>
      </c>
      <c r="T27" s="24">
        <f t="shared" si="4"/>
        <v>60000</v>
      </c>
      <c r="U27" s="24">
        <f t="shared" si="4"/>
        <v>60000</v>
      </c>
      <c r="V27" s="25">
        <f t="shared" si="4"/>
        <v>60000</v>
      </c>
    </row>
    <row r="28" spans="2:22" x14ac:dyDescent="0.2">
      <c r="F28" s="12" t="s">
        <v>113</v>
      </c>
      <c r="G28" s="40">
        <f>Financing!Q19</f>
        <v>109222.6770433757</v>
      </c>
      <c r="J28" s="56" t="s">
        <v>22</v>
      </c>
      <c r="K28" s="23">
        <v>0</v>
      </c>
      <c r="L28" s="23">
        <f t="shared" si="1"/>
        <v>10000</v>
      </c>
      <c r="M28" s="23">
        <f t="shared" ref="M28:V28" si="5">M18+L28</f>
        <v>10000</v>
      </c>
      <c r="N28" s="23">
        <f t="shared" si="5"/>
        <v>10000</v>
      </c>
      <c r="O28" s="24">
        <f t="shared" si="5"/>
        <v>20000</v>
      </c>
      <c r="P28" s="24">
        <f t="shared" si="5"/>
        <v>20000</v>
      </c>
      <c r="Q28" s="24">
        <f t="shared" si="5"/>
        <v>20000</v>
      </c>
      <c r="R28" s="24">
        <f t="shared" si="5"/>
        <v>20000</v>
      </c>
      <c r="S28" s="24">
        <f t="shared" si="5"/>
        <v>20000</v>
      </c>
      <c r="T28" s="24">
        <f t="shared" si="5"/>
        <v>20000</v>
      </c>
      <c r="U28" s="24">
        <f t="shared" si="5"/>
        <v>20000</v>
      </c>
      <c r="V28" s="25">
        <f t="shared" si="5"/>
        <v>20000</v>
      </c>
    </row>
    <row r="29" spans="2:22" x14ac:dyDescent="0.2">
      <c r="B29" s="178" t="s">
        <v>38</v>
      </c>
      <c r="C29" s="182"/>
      <c r="D29" s="179"/>
      <c r="F29" s="12" t="s">
        <v>114</v>
      </c>
      <c r="G29" s="40">
        <f>Financing!R19</f>
        <v>38639.177043375668</v>
      </c>
      <c r="J29" s="56" t="s">
        <v>23</v>
      </c>
      <c r="K29" s="23">
        <v>0</v>
      </c>
      <c r="L29" s="23">
        <f t="shared" si="1"/>
        <v>16000</v>
      </c>
      <c r="M29" s="23">
        <f t="shared" ref="M29:V29" si="6">M19+L29</f>
        <v>16000</v>
      </c>
      <c r="N29" s="23">
        <f t="shared" si="6"/>
        <v>16000</v>
      </c>
      <c r="O29" s="24">
        <f t="shared" si="6"/>
        <v>56000</v>
      </c>
      <c r="P29" s="24">
        <f t="shared" si="6"/>
        <v>56000</v>
      </c>
      <c r="Q29" s="24">
        <f t="shared" si="6"/>
        <v>56000</v>
      </c>
      <c r="R29" s="24">
        <f t="shared" si="6"/>
        <v>56000</v>
      </c>
      <c r="S29" s="24">
        <f t="shared" si="6"/>
        <v>56000</v>
      </c>
      <c r="T29" s="24">
        <f t="shared" si="6"/>
        <v>56000</v>
      </c>
      <c r="U29" s="24">
        <f t="shared" si="6"/>
        <v>56000</v>
      </c>
      <c r="V29" s="25">
        <f t="shared" si="6"/>
        <v>56000</v>
      </c>
    </row>
    <row r="30" spans="2:22" x14ac:dyDescent="0.2">
      <c r="B30" s="37" t="s">
        <v>89</v>
      </c>
      <c r="C30" s="38" t="s">
        <v>72</v>
      </c>
      <c r="D30" s="39" t="s">
        <v>86</v>
      </c>
      <c r="F30" s="12" t="s">
        <v>86</v>
      </c>
      <c r="G30" s="40">
        <f>Financing!S19</f>
        <v>0</v>
      </c>
      <c r="J30" s="59" t="s">
        <v>36</v>
      </c>
      <c r="K30" s="60">
        <f>SUM(K25:K29)</f>
        <v>0</v>
      </c>
      <c r="L30" s="60">
        <f t="shared" si="1"/>
        <v>99000</v>
      </c>
      <c r="M30" s="60">
        <f t="shared" ref="M30:V30" si="7">M20+L30</f>
        <v>99000</v>
      </c>
      <c r="N30" s="60">
        <f t="shared" si="7"/>
        <v>99000</v>
      </c>
      <c r="O30" s="61">
        <f t="shared" si="7"/>
        <v>179000</v>
      </c>
      <c r="P30" s="61">
        <f t="shared" si="7"/>
        <v>179000</v>
      </c>
      <c r="Q30" s="61">
        <f t="shared" si="7"/>
        <v>179000</v>
      </c>
      <c r="R30" s="61">
        <f t="shared" si="7"/>
        <v>179000</v>
      </c>
      <c r="S30" s="61">
        <f t="shared" si="7"/>
        <v>179000</v>
      </c>
      <c r="T30" s="61">
        <f t="shared" si="7"/>
        <v>179000</v>
      </c>
      <c r="U30" s="61">
        <f t="shared" si="7"/>
        <v>179000</v>
      </c>
      <c r="V30" s="62">
        <f t="shared" si="7"/>
        <v>179000</v>
      </c>
    </row>
    <row r="31" spans="2:22" x14ac:dyDescent="0.2">
      <c r="B31" s="12" t="s">
        <v>85</v>
      </c>
      <c r="C31" s="27" t="s">
        <v>74</v>
      </c>
      <c r="D31" s="26" t="s">
        <v>75</v>
      </c>
      <c r="F31" s="12" t="s">
        <v>97</v>
      </c>
      <c r="G31" s="40">
        <f>Financing!T19</f>
        <v>183315.58768180883</v>
      </c>
    </row>
    <row r="32" spans="2:22" x14ac:dyDescent="0.2">
      <c r="B32" s="15" t="s">
        <v>14</v>
      </c>
      <c r="C32" s="43" t="s">
        <v>73</v>
      </c>
      <c r="D32" s="44" t="s">
        <v>73</v>
      </c>
      <c r="F32" s="12" t="s">
        <v>115</v>
      </c>
      <c r="G32" s="40">
        <f>Financing!U19</f>
        <v>112732.0876818088</v>
      </c>
    </row>
    <row r="33" spans="2:7" x14ac:dyDescent="0.2">
      <c r="B33" s="12" t="s">
        <v>18</v>
      </c>
      <c r="C33" s="173">
        <f>C4*C18</f>
        <v>10000</v>
      </c>
      <c r="D33" s="31">
        <f>C4*D18</f>
        <v>0</v>
      </c>
      <c r="F33" s="12" t="s">
        <v>116</v>
      </c>
      <c r="G33" s="40">
        <f>Financing!V19</f>
        <v>42148.587681808756</v>
      </c>
    </row>
    <row r="34" spans="2:7" x14ac:dyDescent="0.2">
      <c r="B34" s="12" t="s">
        <v>19</v>
      </c>
      <c r="C34" s="173">
        <f>C5*C19</f>
        <v>224000</v>
      </c>
      <c r="D34" s="31">
        <f>C5*D19</f>
        <v>0</v>
      </c>
      <c r="F34" s="12" t="s">
        <v>117</v>
      </c>
      <c r="G34" s="40">
        <f>Financing!W19</f>
        <v>0</v>
      </c>
    </row>
    <row r="35" spans="2:7" x14ac:dyDescent="0.2">
      <c r="B35" s="12" t="s">
        <v>20</v>
      </c>
      <c r="C35" s="173">
        <f>C6*C20</f>
        <v>33000</v>
      </c>
      <c r="D35" s="31">
        <f>C6*D20</f>
        <v>0</v>
      </c>
      <c r="F35" s="12" t="s">
        <v>118</v>
      </c>
      <c r="G35" s="40">
        <f>Financing!X19</f>
        <v>0</v>
      </c>
    </row>
    <row r="36" spans="2:7" x14ac:dyDescent="0.2">
      <c r="B36" s="12" t="s">
        <v>13</v>
      </c>
      <c r="C36" s="173">
        <f>C7*C21</f>
        <v>30000</v>
      </c>
      <c r="D36" s="31">
        <f>C7*D21</f>
        <v>30000</v>
      </c>
      <c r="F36" s="12" t="s">
        <v>119</v>
      </c>
      <c r="G36" s="40">
        <f>Financing!Y19</f>
        <v>0</v>
      </c>
    </row>
    <row r="37" spans="2:7" x14ac:dyDescent="0.2">
      <c r="B37" s="12" t="s">
        <v>15</v>
      </c>
      <c r="C37" s="173">
        <f>D12*C22</f>
        <v>140710</v>
      </c>
      <c r="D37" s="31">
        <f>D12*D22</f>
        <v>140710</v>
      </c>
      <c r="F37" s="63" t="s">
        <v>120</v>
      </c>
      <c r="G37" s="115">
        <f>SUM(G26:G36)</f>
        <v>916253.97121892939</v>
      </c>
    </row>
    <row r="38" spans="2:7" x14ac:dyDescent="0.2">
      <c r="B38" s="12" t="s">
        <v>21</v>
      </c>
      <c r="C38" s="173">
        <f>C8*C23</f>
        <v>25000</v>
      </c>
      <c r="D38" s="31">
        <f>C8*D23</f>
        <v>25000</v>
      </c>
    </row>
    <row r="39" spans="2:7" x14ac:dyDescent="0.2">
      <c r="B39" s="12" t="s">
        <v>22</v>
      </c>
      <c r="C39" s="173">
        <f>C9*C24</f>
        <v>10000</v>
      </c>
      <c r="D39" s="31">
        <f>C9*D24</f>
        <v>10000</v>
      </c>
      <c r="F39" s="178" t="s">
        <v>106</v>
      </c>
      <c r="G39" s="179"/>
    </row>
    <row r="40" spans="2:7" x14ac:dyDescent="0.2">
      <c r="B40" s="12" t="s">
        <v>23</v>
      </c>
      <c r="C40" s="173">
        <f>C10*C25</f>
        <v>16000</v>
      </c>
      <c r="D40" s="31">
        <f>C10*D25</f>
        <v>40000</v>
      </c>
      <c r="F40" s="12" t="s">
        <v>127</v>
      </c>
      <c r="G40" s="51">
        <f>SUM(C4,C6,C7,C9,C10,C11)</f>
        <v>180000</v>
      </c>
    </row>
    <row r="41" spans="2:7" x14ac:dyDescent="0.2">
      <c r="B41" s="12" t="s">
        <v>24</v>
      </c>
      <c r="C41" s="173">
        <f>C11*C26</f>
        <v>1000</v>
      </c>
      <c r="D41" s="31">
        <f>C11*D26</f>
        <v>0</v>
      </c>
      <c r="F41" s="12" t="s">
        <v>128</v>
      </c>
      <c r="G41" s="51">
        <f>SUM(C5)</f>
        <v>224000</v>
      </c>
    </row>
    <row r="42" spans="2:7" x14ac:dyDescent="0.2">
      <c r="B42" s="63" t="s">
        <v>36</v>
      </c>
      <c r="C42" s="174">
        <f>SUM(C33:C41)</f>
        <v>489710</v>
      </c>
      <c r="D42" s="85">
        <f>SUM(D33:D41)</f>
        <v>245710</v>
      </c>
      <c r="F42" s="12" t="s">
        <v>129</v>
      </c>
      <c r="G42" s="51">
        <f>D12</f>
        <v>281420</v>
      </c>
    </row>
    <row r="43" spans="2:7" x14ac:dyDescent="0.2">
      <c r="F43" s="12" t="s">
        <v>130</v>
      </c>
      <c r="G43" s="51">
        <f>C8</f>
        <v>50000</v>
      </c>
    </row>
    <row r="44" spans="2:7" x14ac:dyDescent="0.2">
      <c r="F44" s="12"/>
      <c r="G44" s="13"/>
    </row>
    <row r="45" spans="2:7" x14ac:dyDescent="0.2">
      <c r="F45" s="12" t="s">
        <v>121</v>
      </c>
      <c r="G45" s="116">
        <v>1</v>
      </c>
    </row>
    <row r="46" spans="2:7" x14ac:dyDescent="0.2">
      <c r="F46" s="12" t="s">
        <v>122</v>
      </c>
      <c r="G46" s="116">
        <v>0.15</v>
      </c>
    </row>
    <row r="47" spans="2:7" x14ac:dyDescent="0.2">
      <c r="F47" s="12" t="s">
        <v>124</v>
      </c>
      <c r="G47" s="116">
        <v>0.1</v>
      </c>
    </row>
    <row r="48" spans="2:7" x14ac:dyDescent="0.2">
      <c r="F48" s="12" t="s">
        <v>123</v>
      </c>
      <c r="G48" s="116">
        <v>0.15</v>
      </c>
    </row>
    <row r="49" spans="6:7" x14ac:dyDescent="0.2">
      <c r="F49" s="12"/>
      <c r="G49" s="13"/>
    </row>
    <row r="50" spans="6:7" x14ac:dyDescent="0.2">
      <c r="F50" s="12" t="s">
        <v>125</v>
      </c>
      <c r="G50" s="51">
        <f>G40*G45</f>
        <v>180000</v>
      </c>
    </row>
    <row r="51" spans="6:7" x14ac:dyDescent="0.2">
      <c r="F51" s="12" t="s">
        <v>19</v>
      </c>
      <c r="G51" s="51">
        <f t="shared" ref="G51:G53" si="8">G41*G46</f>
        <v>33600</v>
      </c>
    </row>
    <row r="52" spans="6:7" x14ac:dyDescent="0.2">
      <c r="F52" s="12" t="s">
        <v>15</v>
      </c>
      <c r="G52" s="51">
        <f t="shared" si="8"/>
        <v>28142</v>
      </c>
    </row>
    <row r="53" spans="6:7" x14ac:dyDescent="0.2">
      <c r="F53" s="12" t="s">
        <v>21</v>
      </c>
      <c r="G53" s="51">
        <f t="shared" si="8"/>
        <v>7500</v>
      </c>
    </row>
    <row r="54" spans="6:7" x14ac:dyDescent="0.2">
      <c r="F54" s="12"/>
      <c r="G54" s="13"/>
    </row>
    <row r="55" spans="6:7" x14ac:dyDescent="0.2">
      <c r="F55" s="63" t="s">
        <v>126</v>
      </c>
      <c r="G55" s="108">
        <f>SUM(G50:G53)</f>
        <v>249242</v>
      </c>
    </row>
    <row r="81" spans="7:8" x14ac:dyDescent="0.2">
      <c r="G81" s="2">
        <v>9050216.6400000006</v>
      </c>
      <c r="H81" s="2" t="s">
        <v>131</v>
      </c>
    </row>
  </sheetData>
  <sortState xmlns:xlrd2="http://schemas.microsoft.com/office/spreadsheetml/2017/richdata2" ref="F65:F68">
    <sortCondition ref="F65"/>
  </sortState>
  <mergeCells count="16">
    <mergeCell ref="J2:V2"/>
    <mergeCell ref="K23:N23"/>
    <mergeCell ref="O23:V23"/>
    <mergeCell ref="B29:D29"/>
    <mergeCell ref="F39:G39"/>
    <mergeCell ref="K13:N13"/>
    <mergeCell ref="O13:V13"/>
    <mergeCell ref="K3:N3"/>
    <mergeCell ref="O3:V3"/>
    <mergeCell ref="J12:V12"/>
    <mergeCell ref="J22:V22"/>
    <mergeCell ref="F11:H11"/>
    <mergeCell ref="F2:H2"/>
    <mergeCell ref="F24:G24"/>
    <mergeCell ref="B2:D2"/>
    <mergeCell ref="B14:D14"/>
  </mergeCells>
  <phoneticPr fontId="5" type="noConversion"/>
  <pageMargins left="0.7" right="0.7" top="0.75" bottom="0.75" header="0.3" footer="0.3"/>
  <pageSetup orientation="portrait" horizontalDpi="0" verticalDpi="0" r:id="rId1"/>
  <ignoredErrors>
    <ignoredError sqref="K30" formulaRange="1"/>
    <ignoredError sqref="D5 D7:D8 D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30918-14B1-489F-8D93-636386A07955}">
  <dimension ref="B2:Z67"/>
  <sheetViews>
    <sheetView showGridLines="0" zoomScaleNormal="100" workbookViewId="0"/>
  </sheetViews>
  <sheetFormatPr defaultRowHeight="12.75" x14ac:dyDescent="0.2"/>
  <cols>
    <col min="1" max="1" width="2" style="2" customWidth="1"/>
    <col min="2" max="2" width="12.7109375" style="2" bestFit="1" customWidth="1"/>
    <col min="3" max="3" width="10.28515625" style="2" bestFit="1" customWidth="1"/>
    <col min="4" max="4" width="7" style="2" bestFit="1" customWidth="1"/>
    <col min="5" max="5" width="2" style="2" customWidth="1"/>
    <col min="6" max="6" width="24.140625" style="2" bestFit="1" customWidth="1"/>
    <col min="7" max="7" width="14" style="2" customWidth="1"/>
    <col min="8" max="8" width="10.7109375" style="2" bestFit="1" customWidth="1"/>
    <col min="9" max="9" width="2" style="2" customWidth="1"/>
    <col min="10" max="10" width="12.28515625" style="2" bestFit="1" customWidth="1"/>
    <col min="11" max="11" width="10.28515625" style="2" bestFit="1" customWidth="1"/>
    <col min="12" max="12" width="13.5703125" style="2" bestFit="1" customWidth="1"/>
    <col min="13" max="13" width="2" style="2" customWidth="1"/>
    <col min="14" max="14" width="29.7109375" style="2" bestFit="1" customWidth="1"/>
    <col min="15" max="22" width="10.7109375" style="2" bestFit="1" customWidth="1"/>
    <col min="23" max="23" width="10.28515625" style="2" bestFit="1" customWidth="1"/>
    <col min="24" max="25" width="11.28515625" style="2" bestFit="1" customWidth="1"/>
    <col min="26" max="16384" width="9.140625" style="2"/>
  </cols>
  <sheetData>
    <row r="2" spans="2:25" ht="15" customHeight="1" x14ac:dyDescent="0.2">
      <c r="B2" s="178" t="s">
        <v>34</v>
      </c>
      <c r="C2" s="182"/>
      <c r="D2" s="179"/>
      <c r="F2" s="178" t="s">
        <v>70</v>
      </c>
      <c r="G2" s="182"/>
      <c r="H2" s="179"/>
      <c r="J2" s="178" t="s">
        <v>66</v>
      </c>
      <c r="K2" s="182"/>
      <c r="L2" s="179"/>
      <c r="N2" s="178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79"/>
    </row>
    <row r="3" spans="2:25" ht="15" customHeight="1" x14ac:dyDescent="0.2">
      <c r="B3" s="45" t="s">
        <v>146</v>
      </c>
      <c r="C3" s="46" t="s">
        <v>43</v>
      </c>
      <c r="D3" s="49" t="s">
        <v>39</v>
      </c>
      <c r="F3" s="192" t="s">
        <v>31</v>
      </c>
      <c r="G3" s="193"/>
      <c r="H3" s="194"/>
      <c r="J3" s="33" t="s">
        <v>7</v>
      </c>
      <c r="K3" s="18"/>
      <c r="L3" s="96">
        <v>10</v>
      </c>
      <c r="N3" s="12" t="s">
        <v>85</v>
      </c>
      <c r="O3" s="195" t="s">
        <v>74</v>
      </c>
      <c r="P3" s="195"/>
      <c r="Q3" s="195"/>
      <c r="R3" s="195"/>
      <c r="S3" s="196" t="s">
        <v>75</v>
      </c>
      <c r="T3" s="196"/>
      <c r="U3" s="196"/>
      <c r="V3" s="196"/>
      <c r="W3" s="196"/>
      <c r="X3" s="196"/>
      <c r="Y3" s="196"/>
    </row>
    <row r="4" spans="2:25" x14ac:dyDescent="0.2">
      <c r="B4" s="12" t="s">
        <v>42</v>
      </c>
      <c r="C4" s="20">
        <f>Cost!G9</f>
        <v>8166946.7999999998</v>
      </c>
      <c r="D4" s="104">
        <f>C4/C4</f>
        <v>1</v>
      </c>
      <c r="F4" s="12" t="s">
        <v>27</v>
      </c>
      <c r="G4" s="1"/>
      <c r="H4" s="87">
        <v>0.72</v>
      </c>
      <c r="J4" s="33" t="s">
        <v>8</v>
      </c>
      <c r="K4" s="18"/>
      <c r="L4" s="87">
        <v>0.1</v>
      </c>
      <c r="N4" s="12" t="s">
        <v>58</v>
      </c>
      <c r="O4" s="52">
        <v>0</v>
      </c>
      <c r="P4" s="47">
        <v>1</v>
      </c>
      <c r="Q4" s="47">
        <v>2</v>
      </c>
      <c r="R4" s="64">
        <v>3</v>
      </c>
      <c r="S4" s="65">
        <v>4</v>
      </c>
      <c r="T4" s="66">
        <v>5</v>
      </c>
      <c r="U4" s="66">
        <v>6</v>
      </c>
      <c r="V4" s="66">
        <v>7</v>
      </c>
      <c r="W4" s="66">
        <v>8</v>
      </c>
      <c r="X4" s="66">
        <v>9</v>
      </c>
      <c r="Y4" s="48">
        <v>10</v>
      </c>
    </row>
    <row r="5" spans="2:25" x14ac:dyDescent="0.2">
      <c r="B5" s="12" t="s">
        <v>50</v>
      </c>
      <c r="C5" s="20">
        <f>MIN(H8,H13,H21)</f>
        <v>4337050.5230550664</v>
      </c>
      <c r="D5" s="104">
        <f>C5/$C$4</f>
        <v>0.53104919491517522</v>
      </c>
      <c r="F5" s="12" t="s">
        <v>28</v>
      </c>
      <c r="G5" s="1"/>
      <c r="H5" s="87">
        <v>0.08</v>
      </c>
      <c r="J5" s="33" t="s">
        <v>9</v>
      </c>
      <c r="K5" s="18"/>
      <c r="L5" s="94">
        <f>MIN(H8,H13,H21)</f>
        <v>4337050.5230550664</v>
      </c>
      <c r="N5" s="140" t="s">
        <v>51</v>
      </c>
      <c r="O5" s="27"/>
      <c r="P5" s="27"/>
      <c r="Q5" s="27"/>
      <c r="R5" s="27"/>
      <c r="S5" s="28"/>
      <c r="T5" s="28"/>
      <c r="U5" s="28"/>
      <c r="V5" s="28"/>
      <c r="W5" s="28"/>
      <c r="X5" s="28"/>
      <c r="Y5" s="26"/>
    </row>
    <row r="6" spans="2:25" x14ac:dyDescent="0.2">
      <c r="B6" s="12" t="s">
        <v>45</v>
      </c>
      <c r="C6" s="20">
        <f>C4-C5</f>
        <v>3829896.2769449335</v>
      </c>
      <c r="D6" s="104">
        <f>C6/$C$4</f>
        <v>0.46895080508482478</v>
      </c>
      <c r="F6" s="12" t="s">
        <v>40</v>
      </c>
      <c r="G6" s="1"/>
      <c r="H6" s="98">
        <f>'Pro Forma'!G11</f>
        <v>542950</v>
      </c>
      <c r="J6" s="33" t="s">
        <v>10</v>
      </c>
      <c r="K6" s="18"/>
      <c r="L6" s="95" t="s">
        <v>83</v>
      </c>
      <c r="N6" s="109" t="s">
        <v>52</v>
      </c>
      <c r="O6" s="29">
        <f>IF(Cost!K10&lt;&gt;"",Cost!K10,"")</f>
        <v>4714999.654285714</v>
      </c>
      <c r="P6" s="29" t="str">
        <f>IF(Cost!L10&lt;&gt;"",Cost!L10,"")</f>
        <v/>
      </c>
      <c r="Q6" s="29" t="str">
        <f>IF(Cost!M10&lt;&gt;"",Cost!M10,"")</f>
        <v/>
      </c>
      <c r="R6" s="29" t="str">
        <f>IF(Cost!N10&lt;&gt;"",Cost!N10,"")</f>
        <v/>
      </c>
      <c r="S6" s="30">
        <f>IF(Cost!O10&lt;&gt;"",Cost!O10,"")</f>
        <v>3451951.1457142858</v>
      </c>
      <c r="T6" s="30" t="str">
        <f>IF(Cost!P10&lt;&gt;"",Cost!P10,"")</f>
        <v/>
      </c>
      <c r="U6" s="30" t="str">
        <f>IF(Cost!Q10&lt;&gt;"",Cost!Q10,"")</f>
        <v/>
      </c>
      <c r="V6" s="30" t="str">
        <f>IF(Cost!R10&lt;&gt;"",Cost!R10,"")</f>
        <v/>
      </c>
      <c r="W6" s="30" t="str">
        <f>IF(Cost!S10&lt;&gt;"",Cost!S10,"")</f>
        <v/>
      </c>
      <c r="X6" s="30" t="str">
        <f>IF(Cost!T10&lt;&gt;"",Cost!T10,"")</f>
        <v/>
      </c>
      <c r="Y6" s="31" t="str">
        <f>IF(Cost!U10&lt;&gt;"",Cost!U10,"")</f>
        <v/>
      </c>
    </row>
    <row r="7" spans="2:25" x14ac:dyDescent="0.2">
      <c r="B7" s="63" t="s">
        <v>44</v>
      </c>
      <c r="C7" s="75">
        <f>SUM(C5:C6)</f>
        <v>8166946.7999999998</v>
      </c>
      <c r="D7" s="105">
        <f>C7/$C$4</f>
        <v>1</v>
      </c>
      <c r="F7" s="12" t="s">
        <v>29</v>
      </c>
      <c r="G7" s="1"/>
      <c r="H7" s="98">
        <f>H6/H5</f>
        <v>6786875</v>
      </c>
      <c r="J7" s="35" t="s">
        <v>11</v>
      </c>
      <c r="K7" s="36"/>
      <c r="L7" s="71">
        <f>-PMT(L4,L3,L5,L6)</f>
        <v>705835.00000000035</v>
      </c>
      <c r="N7" s="12"/>
      <c r="O7" s="41"/>
      <c r="P7" s="41"/>
      <c r="Q7" s="41"/>
      <c r="R7" s="41"/>
      <c r="S7" s="72"/>
      <c r="T7" s="72"/>
      <c r="U7" s="72"/>
      <c r="V7" s="72"/>
      <c r="W7" s="72"/>
      <c r="X7" s="72"/>
      <c r="Y7" s="42"/>
    </row>
    <row r="8" spans="2:25" x14ac:dyDescent="0.2">
      <c r="F8" s="12" t="s">
        <v>41</v>
      </c>
      <c r="G8" s="1"/>
      <c r="H8" s="98">
        <f>H4*H7</f>
        <v>4886550</v>
      </c>
      <c r="J8" s="18"/>
      <c r="K8" s="18"/>
      <c r="L8" s="18"/>
      <c r="N8" s="140" t="s">
        <v>135</v>
      </c>
      <c r="O8" s="41"/>
      <c r="P8" s="41"/>
      <c r="Q8" s="41"/>
      <c r="R8" s="41"/>
      <c r="S8" s="72"/>
      <c r="T8" s="72"/>
      <c r="U8" s="72"/>
      <c r="V8" s="72"/>
      <c r="W8" s="72"/>
      <c r="X8" s="72"/>
      <c r="Y8" s="42"/>
    </row>
    <row r="9" spans="2:25" ht="15" customHeight="1" x14ac:dyDescent="0.2">
      <c r="F9" s="12"/>
      <c r="G9" s="1"/>
      <c r="H9" s="34"/>
      <c r="J9" s="178" t="s">
        <v>67</v>
      </c>
      <c r="K9" s="182"/>
      <c r="L9" s="179"/>
      <c r="N9" s="109" t="s">
        <v>137</v>
      </c>
      <c r="O9" s="138">
        <f>O6/C4</f>
        <v>0.57732709294564211</v>
      </c>
      <c r="P9" s="41"/>
      <c r="Q9" s="41"/>
      <c r="R9" s="41"/>
      <c r="S9" s="139">
        <f>S6/C4</f>
        <v>0.42267339683347588</v>
      </c>
      <c r="T9" s="72"/>
      <c r="U9" s="72"/>
      <c r="V9" s="72"/>
      <c r="W9" s="72"/>
      <c r="X9" s="72"/>
      <c r="Y9" s="42"/>
    </row>
    <row r="10" spans="2:25" ht="15" customHeight="1" x14ac:dyDescent="0.2">
      <c r="F10" s="192" t="s">
        <v>32</v>
      </c>
      <c r="G10" s="193"/>
      <c r="H10" s="194"/>
      <c r="J10" s="169" t="s">
        <v>14</v>
      </c>
      <c r="K10" s="170" t="s">
        <v>59</v>
      </c>
      <c r="L10" s="171" t="s">
        <v>61</v>
      </c>
      <c r="N10" s="109" t="s">
        <v>54</v>
      </c>
      <c r="O10" s="29">
        <f>C5*O9</f>
        <v>2503896.7704337579</v>
      </c>
      <c r="P10" s="29"/>
      <c r="Q10" s="29"/>
      <c r="R10" s="29"/>
      <c r="S10" s="30">
        <f>C5*S9</f>
        <v>1833155.8768180881</v>
      </c>
      <c r="T10" s="30"/>
      <c r="U10" s="30"/>
      <c r="V10" s="30"/>
      <c r="W10" s="30"/>
      <c r="X10" s="30"/>
      <c r="Y10" s="31"/>
    </row>
    <row r="11" spans="2:25" x14ac:dyDescent="0.2">
      <c r="E11" s="11"/>
      <c r="F11" s="12" t="s">
        <v>30</v>
      </c>
      <c r="G11" s="1"/>
      <c r="H11" s="87">
        <v>0.72</v>
      </c>
      <c r="J11" s="33" t="s">
        <v>18</v>
      </c>
      <c r="K11" s="92">
        <f>Cost!G4</f>
        <v>612150.96</v>
      </c>
      <c r="L11" s="93">
        <f t="shared" ref="L11:L16" si="0">K11/$K$16</f>
        <v>7.4954689309351202E-2</v>
      </c>
      <c r="N11" s="109" t="s">
        <v>142</v>
      </c>
      <c r="O11" s="29">
        <f>C6*O9</f>
        <v>2211102.8838519561</v>
      </c>
      <c r="P11" s="29"/>
      <c r="Q11" s="29"/>
      <c r="R11" s="29"/>
      <c r="S11" s="72">
        <f>C6*S9</f>
        <v>1618795.2688961977</v>
      </c>
      <c r="T11" s="72"/>
      <c r="U11" s="72"/>
      <c r="V11" s="72"/>
      <c r="W11" s="72"/>
      <c r="X11" s="72"/>
      <c r="Y11" s="42"/>
    </row>
    <row r="12" spans="2:25" x14ac:dyDescent="0.2">
      <c r="E12" s="7"/>
      <c r="F12" s="12" t="s">
        <v>25</v>
      </c>
      <c r="G12" s="1"/>
      <c r="H12" s="99">
        <f>Cost!G9</f>
        <v>8166946.7999999998</v>
      </c>
      <c r="J12" s="33" t="s">
        <v>20</v>
      </c>
      <c r="K12" s="92">
        <f>Cost!G5</f>
        <v>1657236.9600000002</v>
      </c>
      <c r="L12" s="93">
        <f>K12/$K$16</f>
        <v>0.20292001412327068</v>
      </c>
      <c r="N12" s="12"/>
      <c r="O12" s="41"/>
      <c r="P12" s="41"/>
      <c r="Q12" s="41"/>
      <c r="R12" s="41"/>
      <c r="S12" s="72"/>
      <c r="T12" s="72"/>
      <c r="U12" s="72"/>
      <c r="V12" s="72"/>
      <c r="W12" s="72"/>
      <c r="X12" s="72"/>
      <c r="Y12" s="42"/>
    </row>
    <row r="13" spans="2:25" x14ac:dyDescent="0.2">
      <c r="F13" s="12" t="s">
        <v>41</v>
      </c>
      <c r="G13" s="1"/>
      <c r="H13" s="100">
        <f>H11*H12</f>
        <v>5880201.6959999995</v>
      </c>
      <c r="J13" s="33" t="s">
        <v>13</v>
      </c>
      <c r="K13" s="92">
        <f>Cost!G6</f>
        <v>2393706.96</v>
      </c>
      <c r="L13" s="93">
        <f t="shared" si="0"/>
        <v>0.29309692087133471</v>
      </c>
      <c r="N13" s="140" t="s">
        <v>55</v>
      </c>
      <c r="O13" s="41"/>
      <c r="P13" s="41"/>
      <c r="Q13" s="41"/>
      <c r="R13" s="41"/>
      <c r="S13" s="72"/>
      <c r="T13" s="72"/>
      <c r="U13" s="72"/>
      <c r="V13" s="72"/>
      <c r="W13" s="72"/>
      <c r="X13" s="72"/>
      <c r="Y13" s="42"/>
    </row>
    <row r="14" spans="2:25" x14ac:dyDescent="0.2">
      <c r="E14" s="9"/>
      <c r="F14" s="12"/>
      <c r="G14" s="1"/>
      <c r="H14" s="34"/>
      <c r="J14" s="33" t="s">
        <v>22</v>
      </c>
      <c r="K14" s="92">
        <f>Cost!G7</f>
        <v>1155735.96</v>
      </c>
      <c r="L14" s="93">
        <f t="shared" si="0"/>
        <v>0.14151383476625562</v>
      </c>
      <c r="N14" s="109" t="s">
        <v>49</v>
      </c>
      <c r="O14" s="29">
        <v>0</v>
      </c>
      <c r="P14" s="29">
        <f>O20</f>
        <v>1798061.7704337575</v>
      </c>
      <c r="Q14" s="29">
        <f t="shared" ref="Q14:Y14" si="1">P20</f>
        <v>1092226.770433757</v>
      </c>
      <c r="R14" s="29">
        <f t="shared" si="1"/>
        <v>386391.77043375664</v>
      </c>
      <c r="S14" s="30">
        <f t="shared" si="1"/>
        <v>0</v>
      </c>
      <c r="T14" s="30">
        <f t="shared" si="1"/>
        <v>1833155.8768180881</v>
      </c>
      <c r="U14" s="30">
        <f t="shared" si="1"/>
        <v>1127320.8768180879</v>
      </c>
      <c r="V14" s="30">
        <f t="shared" si="1"/>
        <v>421485.87681808753</v>
      </c>
      <c r="W14" s="30">
        <f t="shared" si="1"/>
        <v>0</v>
      </c>
      <c r="X14" s="30">
        <f t="shared" si="1"/>
        <v>0</v>
      </c>
      <c r="Y14" s="31">
        <f t="shared" si="1"/>
        <v>0</v>
      </c>
    </row>
    <row r="15" spans="2:25" ht="15" customHeight="1" x14ac:dyDescent="0.2">
      <c r="F15" s="192" t="s">
        <v>33</v>
      </c>
      <c r="G15" s="193"/>
      <c r="H15" s="194"/>
      <c r="J15" s="33" t="s">
        <v>23</v>
      </c>
      <c r="K15" s="92">
        <f>Cost!G8</f>
        <v>2348115.96</v>
      </c>
      <c r="L15" s="93">
        <f t="shared" si="0"/>
        <v>0.28751454092978784</v>
      </c>
      <c r="N15" s="109" t="s">
        <v>56</v>
      </c>
      <c r="O15" s="29">
        <f>O10</f>
        <v>2503896.7704337579</v>
      </c>
      <c r="P15" s="29">
        <f t="shared" ref="P15:Y15" si="2">P10</f>
        <v>0</v>
      </c>
      <c r="Q15" s="29">
        <f t="shared" si="2"/>
        <v>0</v>
      </c>
      <c r="R15" s="29">
        <f>R10</f>
        <v>0</v>
      </c>
      <c r="S15" s="30">
        <f>S10</f>
        <v>1833155.8768180881</v>
      </c>
      <c r="T15" s="30">
        <f t="shared" si="2"/>
        <v>0</v>
      </c>
      <c r="U15" s="30">
        <f t="shared" si="2"/>
        <v>0</v>
      </c>
      <c r="V15" s="30">
        <f t="shared" si="2"/>
        <v>0</v>
      </c>
      <c r="W15" s="30">
        <f t="shared" si="2"/>
        <v>0</v>
      </c>
      <c r="X15" s="30">
        <f t="shared" si="2"/>
        <v>0</v>
      </c>
      <c r="Y15" s="31">
        <f t="shared" si="2"/>
        <v>0</v>
      </c>
    </row>
    <row r="16" spans="2:25" x14ac:dyDescent="0.2">
      <c r="F16" s="12" t="s">
        <v>87</v>
      </c>
      <c r="G16" s="1"/>
      <c r="H16" s="34">
        <v>1.3</v>
      </c>
      <c r="J16" s="141" t="s">
        <v>60</v>
      </c>
      <c r="K16" s="73">
        <f>SUM(K11:K15)</f>
        <v>8166946.7999999998</v>
      </c>
      <c r="L16" s="142">
        <f t="shared" si="0"/>
        <v>1</v>
      </c>
      <c r="N16" s="109" t="s">
        <v>57</v>
      </c>
      <c r="O16" s="29">
        <f>O15</f>
        <v>2503896.7704337579</v>
      </c>
      <c r="P16" s="29">
        <f>P15+O16</f>
        <v>2503896.7704337579</v>
      </c>
      <c r="Q16" s="29">
        <f t="shared" ref="Q16:Y16" si="3">Q15+P16</f>
        <v>2503896.7704337579</v>
      </c>
      <c r="R16" s="29">
        <f>R15+Q16</f>
        <v>2503896.7704337579</v>
      </c>
      <c r="S16" s="30">
        <f t="shared" si="3"/>
        <v>4337052.6472518463</v>
      </c>
      <c r="T16" s="30">
        <f t="shared" si="3"/>
        <v>4337052.6472518463</v>
      </c>
      <c r="U16" s="30">
        <f t="shared" si="3"/>
        <v>4337052.6472518463</v>
      </c>
      <c r="V16" s="30">
        <f t="shared" si="3"/>
        <v>4337052.6472518463</v>
      </c>
      <c r="W16" s="30">
        <f t="shared" si="3"/>
        <v>4337052.6472518463</v>
      </c>
      <c r="X16" s="30">
        <f t="shared" si="3"/>
        <v>4337052.6472518463</v>
      </c>
      <c r="Y16" s="31">
        <f t="shared" si="3"/>
        <v>4337052.6472518463</v>
      </c>
    </row>
    <row r="17" spans="5:26" x14ac:dyDescent="0.2">
      <c r="E17" s="6"/>
      <c r="F17" s="12" t="s">
        <v>88</v>
      </c>
      <c r="G17" s="1"/>
      <c r="H17" s="34">
        <f>L3</f>
        <v>10</v>
      </c>
      <c r="J17" s="8"/>
      <c r="K17" s="8"/>
      <c r="L17" s="8"/>
      <c r="M17" s="8"/>
      <c r="N17" s="109" t="s">
        <v>11</v>
      </c>
      <c r="O17" s="29">
        <f>$L$7</f>
        <v>705835.00000000035</v>
      </c>
      <c r="P17" s="29">
        <f t="shared" ref="P17:Y17" si="4">IF(O20&lt;$L$7,O20,$L$7)</f>
        <v>705835.00000000035</v>
      </c>
      <c r="Q17" s="29">
        <f t="shared" si="4"/>
        <v>705835.00000000035</v>
      </c>
      <c r="R17" s="29">
        <f t="shared" si="4"/>
        <v>386391.77043375664</v>
      </c>
      <c r="S17" s="30">
        <f t="shared" si="4"/>
        <v>0</v>
      </c>
      <c r="T17" s="30">
        <f t="shared" si="4"/>
        <v>705835.00000000035</v>
      </c>
      <c r="U17" s="30">
        <f t="shared" si="4"/>
        <v>705835.00000000035</v>
      </c>
      <c r="V17" s="30">
        <f t="shared" si="4"/>
        <v>421485.87681808753</v>
      </c>
      <c r="W17" s="30">
        <f t="shared" si="4"/>
        <v>0</v>
      </c>
      <c r="X17" s="30">
        <f t="shared" si="4"/>
        <v>0</v>
      </c>
      <c r="Y17" s="31">
        <f t="shared" si="4"/>
        <v>0</v>
      </c>
    </row>
    <row r="18" spans="5:26" x14ac:dyDescent="0.2">
      <c r="E18" s="10"/>
      <c r="F18" s="12" t="s">
        <v>11</v>
      </c>
      <c r="G18" s="1"/>
      <c r="H18" s="101">
        <f>H19*H16</f>
        <v>705835</v>
      </c>
      <c r="N18" s="110" t="s">
        <v>46</v>
      </c>
      <c r="O18" s="29">
        <f>O17-O19</f>
        <v>455445.32295662456</v>
      </c>
      <c r="P18" s="29">
        <f>P17-P19</f>
        <v>526028.82295662456</v>
      </c>
      <c r="Q18" s="29">
        <f t="shared" ref="Q18:Y18" si="5">Q17-Q19</f>
        <v>596612.32295662467</v>
      </c>
      <c r="R18" s="29">
        <f t="shared" si="5"/>
        <v>347752.59339038096</v>
      </c>
      <c r="S18" s="30">
        <f>S17-S19</f>
        <v>0</v>
      </c>
      <c r="T18" s="30">
        <f t="shared" si="5"/>
        <v>522519.41231819149</v>
      </c>
      <c r="U18" s="30">
        <f t="shared" si="5"/>
        <v>593102.91231819149</v>
      </c>
      <c r="V18" s="30">
        <f>V17-V19</f>
        <v>379337.28913627879</v>
      </c>
      <c r="W18" s="30">
        <f>W17-W19</f>
        <v>0</v>
      </c>
      <c r="X18" s="30">
        <f>X17-X19</f>
        <v>0</v>
      </c>
      <c r="Y18" s="31">
        <f t="shared" si="5"/>
        <v>0</v>
      </c>
    </row>
    <row r="19" spans="5:26" x14ac:dyDescent="0.2">
      <c r="E19" s="7"/>
      <c r="F19" s="12" t="s">
        <v>40</v>
      </c>
      <c r="G19" s="1"/>
      <c r="H19" s="102">
        <f>'Pro Forma'!G11</f>
        <v>542950</v>
      </c>
      <c r="N19" s="110" t="s">
        <v>47</v>
      </c>
      <c r="O19" s="29">
        <f>O16*$L$4</f>
        <v>250389.67704337579</v>
      </c>
      <c r="P19" s="29">
        <f t="shared" ref="P19:Y19" si="6">P14*$L$4</f>
        <v>179806.17704337576</v>
      </c>
      <c r="Q19" s="29">
        <f t="shared" si="6"/>
        <v>109222.6770433757</v>
      </c>
      <c r="R19" s="29">
        <f t="shared" si="6"/>
        <v>38639.177043375668</v>
      </c>
      <c r="S19" s="30">
        <f t="shared" si="6"/>
        <v>0</v>
      </c>
      <c r="T19" s="30">
        <f t="shared" si="6"/>
        <v>183315.58768180883</v>
      </c>
      <c r="U19" s="30">
        <f t="shared" si="6"/>
        <v>112732.0876818088</v>
      </c>
      <c r="V19" s="30">
        <f t="shared" si="6"/>
        <v>42148.587681808756</v>
      </c>
      <c r="W19" s="30">
        <f t="shared" si="6"/>
        <v>0</v>
      </c>
      <c r="X19" s="30">
        <f t="shared" si="6"/>
        <v>0</v>
      </c>
      <c r="Y19" s="31">
        <f t="shared" si="6"/>
        <v>0</v>
      </c>
    </row>
    <row r="20" spans="5:26" x14ac:dyDescent="0.2">
      <c r="F20" s="12" t="s">
        <v>8</v>
      </c>
      <c r="G20" s="1"/>
      <c r="H20" s="97">
        <f>L4</f>
        <v>0.1</v>
      </c>
      <c r="N20" s="112" t="s">
        <v>48</v>
      </c>
      <c r="O20" s="149">
        <f t="shared" ref="O20:V20" si="7">SUM(O14,O15)-O17</f>
        <v>1798061.7704337575</v>
      </c>
      <c r="P20" s="149">
        <f>SUM(P14,P15)-P17</f>
        <v>1092226.770433757</v>
      </c>
      <c r="Q20" s="149">
        <f t="shared" si="7"/>
        <v>386391.77043375664</v>
      </c>
      <c r="R20" s="149">
        <f t="shared" si="7"/>
        <v>0</v>
      </c>
      <c r="S20" s="150">
        <f t="shared" si="7"/>
        <v>1833155.8768180881</v>
      </c>
      <c r="T20" s="150">
        <f t="shared" si="7"/>
        <v>1127320.8768180879</v>
      </c>
      <c r="U20" s="150">
        <f t="shared" si="7"/>
        <v>421485.87681808753</v>
      </c>
      <c r="V20" s="150">
        <f t="shared" si="7"/>
        <v>0</v>
      </c>
      <c r="W20" s="150">
        <f>SUM(W14,W15)-W17</f>
        <v>0</v>
      </c>
      <c r="X20" s="150">
        <f t="shared" ref="X20:Y20" si="8">SUM(X14,X15)-X18</f>
        <v>0</v>
      </c>
      <c r="Y20" s="151">
        <f t="shared" si="8"/>
        <v>0</v>
      </c>
    </row>
    <row r="21" spans="5:26" x14ac:dyDescent="0.2">
      <c r="E21" s="9"/>
      <c r="F21" s="15" t="s">
        <v>41</v>
      </c>
      <c r="G21" s="16"/>
      <c r="H21" s="103">
        <f>-PV(H20,H17,H18,0)</f>
        <v>4337050.5230550664</v>
      </c>
      <c r="N21" s="12"/>
      <c r="O21" s="29"/>
      <c r="P21" s="29"/>
      <c r="Q21" s="29"/>
      <c r="R21" s="29"/>
      <c r="S21" s="30"/>
      <c r="T21" s="30"/>
      <c r="U21" s="30"/>
      <c r="V21" s="30"/>
      <c r="W21" s="30"/>
      <c r="X21" s="30"/>
      <c r="Y21" s="31"/>
    </row>
    <row r="22" spans="5:26" x14ac:dyDescent="0.2">
      <c r="E22" s="9"/>
      <c r="F22" s="1"/>
      <c r="G22" s="1"/>
      <c r="H22" s="19"/>
      <c r="I22" s="1"/>
      <c r="N22" s="140" t="s">
        <v>140</v>
      </c>
      <c r="O22" s="29"/>
      <c r="P22" s="29"/>
      <c r="Q22" s="29"/>
      <c r="R22" s="29"/>
      <c r="S22" s="30"/>
      <c r="T22" s="30"/>
      <c r="U22" s="30"/>
      <c r="V22" s="30"/>
      <c r="W22" s="30"/>
      <c r="X22" s="30"/>
      <c r="Y22" s="31"/>
      <c r="Z22" s="1"/>
    </row>
    <row r="23" spans="5:26" ht="15" customHeight="1" x14ac:dyDescent="0.2">
      <c r="N23" s="109" t="s">
        <v>53</v>
      </c>
      <c r="O23" s="29">
        <f t="shared" ref="O23:Y23" si="9">O17</f>
        <v>705835.00000000035</v>
      </c>
      <c r="P23" s="29">
        <f t="shared" si="9"/>
        <v>705835.00000000035</v>
      </c>
      <c r="Q23" s="29">
        <f t="shared" si="9"/>
        <v>705835.00000000035</v>
      </c>
      <c r="R23" s="29">
        <f t="shared" si="9"/>
        <v>386391.77043375664</v>
      </c>
      <c r="S23" s="30">
        <f t="shared" si="9"/>
        <v>0</v>
      </c>
      <c r="T23" s="30">
        <f t="shared" si="9"/>
        <v>705835.00000000035</v>
      </c>
      <c r="U23" s="30">
        <f t="shared" si="9"/>
        <v>705835.00000000035</v>
      </c>
      <c r="V23" s="30">
        <f t="shared" si="9"/>
        <v>421485.87681808753</v>
      </c>
      <c r="W23" s="30">
        <f t="shared" si="9"/>
        <v>0</v>
      </c>
      <c r="X23" s="30">
        <f t="shared" si="9"/>
        <v>0</v>
      </c>
      <c r="Y23" s="31">
        <f t="shared" si="9"/>
        <v>0</v>
      </c>
      <c r="Z23" s="1"/>
    </row>
    <row r="24" spans="5:26" x14ac:dyDescent="0.2">
      <c r="N24" s="109" t="s">
        <v>143</v>
      </c>
      <c r="O24" s="29" t="str">
        <f>IF('Equity Repayment'!C6&gt;0,'Equity Repayment'!C6,"")</f>
        <v/>
      </c>
      <c r="P24" s="29" t="str">
        <f>IF('Equity Repayment'!D6&gt;0,'Equity Repayment'!D6,"")</f>
        <v/>
      </c>
      <c r="Q24" s="29" t="str">
        <f>IF('Equity Repayment'!E6&gt;0,'Equity Repayment'!E6,"")</f>
        <v/>
      </c>
      <c r="R24" s="29">
        <f>IF('Equity Repayment'!F6&gt;0,'Equity Repayment'!F6,"")</f>
        <v>203189.35956624334</v>
      </c>
      <c r="S24" s="30">
        <f>IF('Equity Repayment'!G6&gt;0,'Equity Repayment'!G6,"")</f>
        <v>1129471.7993999999</v>
      </c>
      <c r="T24" s="30">
        <f>IF('Equity Repayment'!H6&gt;0,'Equity Repayment'!H6,"")</f>
        <v>469603.4533819994</v>
      </c>
      <c r="U24" s="30">
        <f>IF('Equity Repayment'!I6&gt;0,'Equity Repayment'!I6,"")</f>
        <v>516949.10698345944</v>
      </c>
      <c r="V24" s="30">
        <f>IF('Equity Repayment'!J6&gt;0,'Equity Repayment'!J6,"")</f>
        <v>850064.25337487611</v>
      </c>
      <c r="W24" s="30">
        <f>IF('Equity Repayment'!K6&gt;0,'Equity Repayment'!K6,"")</f>
        <v>1321779.1340987526</v>
      </c>
      <c r="X24" s="30">
        <f>IF('Equity Repayment'!L6&gt;0,'Equity Repayment'!L6,"")</f>
        <v>1373515.0081217149</v>
      </c>
      <c r="Y24" s="31">
        <f>IF('Equity Repayment'!M6&gt;0,'Equity Repayment'!M6,"")</f>
        <v>1426802.9583653666</v>
      </c>
      <c r="Z24" s="1"/>
    </row>
    <row r="25" spans="5:26" x14ac:dyDescent="0.2">
      <c r="N25" s="148" t="s">
        <v>141</v>
      </c>
      <c r="O25" s="144">
        <f>SUM(O23:O24)</f>
        <v>705835.00000000035</v>
      </c>
      <c r="P25" s="144">
        <f t="shared" ref="P25:Y25" si="10">SUM(P23:P24)</f>
        <v>705835.00000000035</v>
      </c>
      <c r="Q25" s="144">
        <f t="shared" si="10"/>
        <v>705835.00000000035</v>
      </c>
      <c r="R25" s="144">
        <f t="shared" si="10"/>
        <v>589581.13</v>
      </c>
      <c r="S25" s="145">
        <f t="shared" si="10"/>
        <v>1129471.7993999999</v>
      </c>
      <c r="T25" s="145">
        <f t="shared" si="10"/>
        <v>1175438.4533819999</v>
      </c>
      <c r="U25" s="145">
        <f t="shared" si="10"/>
        <v>1222784.1069834598</v>
      </c>
      <c r="V25" s="145">
        <f t="shared" si="10"/>
        <v>1271550.1301929636</v>
      </c>
      <c r="W25" s="145">
        <f t="shared" si="10"/>
        <v>1321779.1340987526</v>
      </c>
      <c r="X25" s="145">
        <f t="shared" si="10"/>
        <v>1373515.0081217149</v>
      </c>
      <c r="Y25" s="146">
        <f t="shared" si="10"/>
        <v>1426802.9583653666</v>
      </c>
      <c r="Z25" s="1"/>
    </row>
    <row r="26" spans="5:26" x14ac:dyDescent="0.2"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48" spans="15:15" x14ac:dyDescent="0.2">
      <c r="O48" s="7"/>
    </row>
    <row r="49" spans="2:18" x14ac:dyDescent="0.2">
      <c r="O49" s="7"/>
    </row>
    <row r="50" spans="2:18" x14ac:dyDescent="0.2">
      <c r="O50" s="7"/>
    </row>
    <row r="51" spans="2:18" x14ac:dyDescent="0.2">
      <c r="O51" s="7"/>
      <c r="P51" s="7"/>
      <c r="Q51" s="7"/>
      <c r="R51" s="7"/>
    </row>
    <row r="52" spans="2:18" x14ac:dyDescent="0.2">
      <c r="B52" s="1"/>
      <c r="O52" s="7"/>
      <c r="P52" s="7"/>
      <c r="Q52" s="7"/>
      <c r="R52" s="7"/>
    </row>
    <row r="60" spans="2:18" x14ac:dyDescent="0.2">
      <c r="B60" s="1"/>
    </row>
    <row r="61" spans="2:18" x14ac:dyDescent="0.2">
      <c r="B61" s="1"/>
    </row>
    <row r="62" spans="2:18" x14ac:dyDescent="0.2">
      <c r="B62" s="1"/>
    </row>
    <row r="63" spans="2:18" x14ac:dyDescent="0.2">
      <c r="B63" s="1"/>
    </row>
    <row r="64" spans="2:18" x14ac:dyDescent="0.2">
      <c r="B64" s="1"/>
    </row>
    <row r="65" spans="2:4" x14ac:dyDescent="0.2">
      <c r="B65" s="1"/>
    </row>
    <row r="66" spans="2:4" x14ac:dyDescent="0.2">
      <c r="B66" s="1"/>
      <c r="D66" s="3"/>
    </row>
    <row r="67" spans="2:4" x14ac:dyDescent="0.2">
      <c r="B67" s="1"/>
      <c r="D67" s="3"/>
    </row>
  </sheetData>
  <mergeCells count="10">
    <mergeCell ref="F10:H10"/>
    <mergeCell ref="F15:H15"/>
    <mergeCell ref="O3:R3"/>
    <mergeCell ref="S3:Y3"/>
    <mergeCell ref="F3:H3"/>
    <mergeCell ref="B2:D2"/>
    <mergeCell ref="F2:H2"/>
    <mergeCell ref="J2:L2"/>
    <mergeCell ref="J9:L9"/>
    <mergeCell ref="N2:Y2"/>
  </mergeCells>
  <pageMargins left="0.7" right="0.7" top="0.75" bottom="0.75" header="0.3" footer="0.3"/>
  <ignoredErrors>
    <ignoredError sqref="L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16272-3F84-45DA-A2EB-BB5A6ED9B74F}">
  <dimension ref="B2:Q78"/>
  <sheetViews>
    <sheetView showGridLines="0" zoomScaleNormal="100" workbookViewId="0"/>
  </sheetViews>
  <sheetFormatPr defaultRowHeight="12.75" x14ac:dyDescent="0.2"/>
  <cols>
    <col min="1" max="1" width="2.85546875" style="2" customWidth="1"/>
    <col min="2" max="2" width="17.5703125" style="2" bestFit="1" customWidth="1"/>
    <col min="3" max="3" width="6" style="2" bestFit="1" customWidth="1"/>
    <col min="4" max="4" width="2.85546875" style="2" customWidth="1"/>
    <col min="5" max="5" width="22.140625" style="22" bestFit="1" customWidth="1"/>
    <col min="6" max="9" width="9.28515625" style="14" bestFit="1" customWidth="1"/>
    <col min="10" max="17" width="10.28515625" style="14" bestFit="1" customWidth="1"/>
    <col min="18" max="16384" width="9.140625" style="2"/>
  </cols>
  <sheetData>
    <row r="2" spans="2:17" ht="15" customHeight="1" x14ac:dyDescent="0.2">
      <c r="B2" s="178" t="s">
        <v>68</v>
      </c>
      <c r="C2" s="179"/>
      <c r="E2" s="199" t="s">
        <v>36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1"/>
    </row>
    <row r="3" spans="2:17" x14ac:dyDescent="0.2">
      <c r="B3" s="33" t="s">
        <v>37</v>
      </c>
      <c r="C3" s="87">
        <v>0.03</v>
      </c>
      <c r="E3" s="143" t="s">
        <v>85</v>
      </c>
      <c r="F3" s="197" t="s">
        <v>74</v>
      </c>
      <c r="G3" s="197"/>
      <c r="H3" s="197"/>
      <c r="I3" s="197"/>
      <c r="J3" s="198" t="s">
        <v>75</v>
      </c>
      <c r="K3" s="198"/>
      <c r="L3" s="198"/>
      <c r="M3" s="198"/>
      <c r="N3" s="198"/>
      <c r="O3" s="198"/>
      <c r="P3" s="198"/>
      <c r="Q3" s="198"/>
    </row>
    <row r="4" spans="2:17" x14ac:dyDescent="0.2">
      <c r="B4" s="33" t="s">
        <v>93</v>
      </c>
      <c r="C4" s="87">
        <v>0.05</v>
      </c>
      <c r="E4" s="21" t="s">
        <v>58</v>
      </c>
      <c r="F4" s="91" t="s">
        <v>83</v>
      </c>
      <c r="G4" s="76">
        <v>1</v>
      </c>
      <c r="H4" s="76">
        <v>2</v>
      </c>
      <c r="I4" s="77">
        <v>3</v>
      </c>
      <c r="J4" s="78">
        <v>4</v>
      </c>
      <c r="K4" s="79">
        <v>5</v>
      </c>
      <c r="L4" s="79">
        <v>6</v>
      </c>
      <c r="M4" s="79">
        <v>7</v>
      </c>
      <c r="N4" s="79">
        <v>8</v>
      </c>
      <c r="O4" s="79">
        <v>9</v>
      </c>
      <c r="P4" s="79">
        <v>10</v>
      </c>
      <c r="Q4" s="80">
        <v>11</v>
      </c>
    </row>
    <row r="5" spans="2:17" x14ac:dyDescent="0.2">
      <c r="B5" s="33" t="s">
        <v>94</v>
      </c>
      <c r="C5" s="86">
        <v>1.25</v>
      </c>
      <c r="E5" s="21" t="s">
        <v>78</v>
      </c>
      <c r="F5" s="29">
        <f t="shared" ref="F5:Q5" si="0">SUM(F18,F31,F44,F57,F70)</f>
        <v>0</v>
      </c>
      <c r="G5" s="29">
        <f t="shared" si="0"/>
        <v>99000</v>
      </c>
      <c r="H5" s="29">
        <f t="shared" si="0"/>
        <v>99000</v>
      </c>
      <c r="I5" s="29">
        <f t="shared" si="0"/>
        <v>99000</v>
      </c>
      <c r="J5" s="30">
        <f t="shared" si="0"/>
        <v>179000</v>
      </c>
      <c r="K5" s="30">
        <f t="shared" si="0"/>
        <v>179000</v>
      </c>
      <c r="L5" s="30">
        <f t="shared" si="0"/>
        <v>179000</v>
      </c>
      <c r="M5" s="30">
        <f t="shared" si="0"/>
        <v>179000</v>
      </c>
      <c r="N5" s="30">
        <f t="shared" si="0"/>
        <v>179000</v>
      </c>
      <c r="O5" s="30">
        <f t="shared" si="0"/>
        <v>179000</v>
      </c>
      <c r="P5" s="30">
        <f t="shared" si="0"/>
        <v>179000</v>
      </c>
      <c r="Q5" s="31">
        <f t="shared" si="0"/>
        <v>179000</v>
      </c>
    </row>
    <row r="6" spans="2:17" x14ac:dyDescent="0.2">
      <c r="B6" s="33" t="s">
        <v>95</v>
      </c>
      <c r="C6" s="86">
        <v>1</v>
      </c>
      <c r="E6" s="21" t="s">
        <v>0</v>
      </c>
      <c r="F6" s="29">
        <f t="shared" ref="F6:Q6" si="1">SUM(F19,F32,F45,F58,F71)</f>
        <v>0</v>
      </c>
      <c r="G6" s="29">
        <f t="shared" si="1"/>
        <v>806000</v>
      </c>
      <c r="H6" s="29">
        <f t="shared" si="1"/>
        <v>830180</v>
      </c>
      <c r="I6" s="29">
        <f t="shared" si="1"/>
        <v>855085.39999999991</v>
      </c>
      <c r="J6" s="30">
        <f t="shared" si="1"/>
        <v>1612865.0519999999</v>
      </c>
      <c r="K6" s="30">
        <f t="shared" si="1"/>
        <v>1661251.0035599996</v>
      </c>
      <c r="L6" s="30">
        <f t="shared" si="1"/>
        <v>1711088.5336667998</v>
      </c>
      <c r="M6" s="30">
        <f t="shared" si="1"/>
        <v>1762421.1896768038</v>
      </c>
      <c r="N6" s="30">
        <f t="shared" si="1"/>
        <v>1815293.825367108</v>
      </c>
      <c r="O6" s="30">
        <f t="shared" si="1"/>
        <v>1869752.6401281208</v>
      </c>
      <c r="P6" s="30">
        <f t="shared" si="1"/>
        <v>1925845.2193319649</v>
      </c>
      <c r="Q6" s="31">
        <f t="shared" si="1"/>
        <v>1983620.5759119238</v>
      </c>
    </row>
    <row r="7" spans="2:17" x14ac:dyDescent="0.2">
      <c r="B7" s="33" t="s">
        <v>96</v>
      </c>
      <c r="C7" s="87">
        <v>8.2500000000000004E-2</v>
      </c>
      <c r="E7" s="21" t="s">
        <v>1</v>
      </c>
      <c r="F7" s="29">
        <f t="shared" ref="F7:Q7" si="2">SUM(F20,F33,F46,F59,F72)</f>
        <v>0</v>
      </c>
      <c r="G7" s="29">
        <f t="shared" si="2"/>
        <v>-40300</v>
      </c>
      <c r="H7" s="29">
        <f t="shared" si="2"/>
        <v>-41509</v>
      </c>
      <c r="I7" s="29">
        <f t="shared" si="2"/>
        <v>-42754.270000000004</v>
      </c>
      <c r="J7" s="30">
        <f t="shared" si="2"/>
        <v>-80643.252600000007</v>
      </c>
      <c r="K7" s="30">
        <f t="shared" si="2"/>
        <v>-83062.55017799999</v>
      </c>
      <c r="L7" s="30">
        <f t="shared" si="2"/>
        <v>-85554.426683340003</v>
      </c>
      <c r="M7" s="30">
        <f t="shared" si="2"/>
        <v>-88121.059483840188</v>
      </c>
      <c r="N7" s="30">
        <f t="shared" si="2"/>
        <v>-90764.691268355411</v>
      </c>
      <c r="O7" s="30">
        <f t="shared" si="2"/>
        <v>-93487.632006406056</v>
      </c>
      <c r="P7" s="30">
        <f t="shared" si="2"/>
        <v>-96292.260966598231</v>
      </c>
      <c r="Q7" s="31">
        <f t="shared" si="2"/>
        <v>-99181.028795596183</v>
      </c>
    </row>
    <row r="8" spans="2:17" x14ac:dyDescent="0.2">
      <c r="B8" s="33" t="s">
        <v>92</v>
      </c>
      <c r="C8" s="87">
        <v>0.85</v>
      </c>
      <c r="E8" s="21" t="s">
        <v>2</v>
      </c>
      <c r="F8" s="29">
        <f t="shared" ref="F8:Q8" si="3">SUM(F21,F34,F47,F60,F73)</f>
        <v>0</v>
      </c>
      <c r="G8" s="29">
        <f t="shared" si="3"/>
        <v>765700</v>
      </c>
      <c r="H8" s="29">
        <f t="shared" si="3"/>
        <v>788671</v>
      </c>
      <c r="I8" s="29">
        <f t="shared" si="3"/>
        <v>812331.13000000012</v>
      </c>
      <c r="J8" s="30">
        <f t="shared" si="3"/>
        <v>1532221.7993999999</v>
      </c>
      <c r="K8" s="30">
        <f t="shared" si="3"/>
        <v>1578188.4533819999</v>
      </c>
      <c r="L8" s="30">
        <f t="shared" si="3"/>
        <v>1625534.10698346</v>
      </c>
      <c r="M8" s="30">
        <f t="shared" si="3"/>
        <v>1674300.1301929636</v>
      </c>
      <c r="N8" s="30">
        <f t="shared" si="3"/>
        <v>1724529.1340987526</v>
      </c>
      <c r="O8" s="30">
        <f t="shared" si="3"/>
        <v>1776265.0081217152</v>
      </c>
      <c r="P8" s="30">
        <f t="shared" si="3"/>
        <v>1829552.9583653663</v>
      </c>
      <c r="Q8" s="31">
        <f t="shared" si="3"/>
        <v>1884439.5471163276</v>
      </c>
    </row>
    <row r="9" spans="2:17" x14ac:dyDescent="0.2">
      <c r="B9" s="35" t="s">
        <v>62</v>
      </c>
      <c r="C9" s="90">
        <v>12</v>
      </c>
      <c r="E9" s="21" t="s">
        <v>3</v>
      </c>
      <c r="F9" s="29">
        <f t="shared" ref="F9:Q9" si="4">SUM(F22,F35,F48,F61,F74)</f>
        <v>0</v>
      </c>
      <c r="G9" s="29">
        <f t="shared" si="4"/>
        <v>-123750</v>
      </c>
      <c r="H9" s="29">
        <f t="shared" si="4"/>
        <v>-123750</v>
      </c>
      <c r="I9" s="29">
        <f t="shared" si="4"/>
        <v>-123750</v>
      </c>
      <c r="J9" s="30">
        <f t="shared" si="4"/>
        <v>-223750</v>
      </c>
      <c r="K9" s="30">
        <f t="shared" si="4"/>
        <v>-223750</v>
      </c>
      <c r="L9" s="30">
        <f t="shared" si="4"/>
        <v>-223750</v>
      </c>
      <c r="M9" s="30">
        <f t="shared" si="4"/>
        <v>-223750</v>
      </c>
      <c r="N9" s="30">
        <f t="shared" si="4"/>
        <v>-223750</v>
      </c>
      <c r="O9" s="30">
        <f t="shared" si="4"/>
        <v>-223750</v>
      </c>
      <c r="P9" s="30">
        <f t="shared" si="4"/>
        <v>-223750</v>
      </c>
      <c r="Q9" s="31">
        <f t="shared" si="4"/>
        <v>-223750</v>
      </c>
    </row>
    <row r="10" spans="2:17" ht="15" customHeight="1" x14ac:dyDescent="0.2">
      <c r="B10" s="8"/>
      <c r="C10" s="8"/>
      <c r="E10" s="21" t="s">
        <v>4</v>
      </c>
      <c r="F10" s="29">
        <f t="shared" ref="F10:Q10" si="5">SUM(F23,F36,F49,F62,F75)</f>
        <v>0</v>
      </c>
      <c r="G10" s="29">
        <f t="shared" si="5"/>
        <v>-99000</v>
      </c>
      <c r="H10" s="29">
        <f t="shared" si="5"/>
        <v>-99000</v>
      </c>
      <c r="I10" s="29">
        <f t="shared" si="5"/>
        <v>-99000</v>
      </c>
      <c r="J10" s="30">
        <f t="shared" si="5"/>
        <v>-179000</v>
      </c>
      <c r="K10" s="30">
        <f t="shared" si="5"/>
        <v>-179000</v>
      </c>
      <c r="L10" s="30">
        <f t="shared" si="5"/>
        <v>-179000</v>
      </c>
      <c r="M10" s="30">
        <f t="shared" si="5"/>
        <v>-179000</v>
      </c>
      <c r="N10" s="30">
        <f t="shared" si="5"/>
        <v>-179000</v>
      </c>
      <c r="O10" s="30">
        <f t="shared" si="5"/>
        <v>-179000</v>
      </c>
      <c r="P10" s="30">
        <f t="shared" si="5"/>
        <v>-179000</v>
      </c>
      <c r="Q10" s="31">
        <f t="shared" si="5"/>
        <v>-179000</v>
      </c>
    </row>
    <row r="11" spans="2:17" x14ac:dyDescent="0.2">
      <c r="B11" s="178" t="s">
        <v>16</v>
      </c>
      <c r="C11" s="179"/>
      <c r="E11" s="21" t="s">
        <v>5</v>
      </c>
      <c r="F11" s="29">
        <f t="shared" ref="F11:Q11" si="6">SUM(F24,F37,F50,F63,F76)</f>
        <v>0</v>
      </c>
      <c r="G11" s="29">
        <f t="shared" si="6"/>
        <v>542950</v>
      </c>
      <c r="H11" s="29">
        <f t="shared" si="6"/>
        <v>565921</v>
      </c>
      <c r="I11" s="29">
        <f t="shared" si="6"/>
        <v>589581.13</v>
      </c>
      <c r="J11" s="30">
        <f t="shared" si="6"/>
        <v>1129471.7993999999</v>
      </c>
      <c r="K11" s="30">
        <f t="shared" si="6"/>
        <v>1175438.4533819999</v>
      </c>
      <c r="L11" s="30">
        <f t="shared" si="6"/>
        <v>1222784.10698346</v>
      </c>
      <c r="M11" s="30">
        <f t="shared" si="6"/>
        <v>1271550.1301929636</v>
      </c>
      <c r="N11" s="30">
        <f t="shared" si="6"/>
        <v>1321779.1340987526</v>
      </c>
      <c r="O11" s="30">
        <f t="shared" si="6"/>
        <v>1373515.0081217149</v>
      </c>
      <c r="P11" s="30">
        <f t="shared" si="6"/>
        <v>1426802.9583653666</v>
      </c>
      <c r="Q11" s="31">
        <f t="shared" si="6"/>
        <v>1481689.5471163276</v>
      </c>
    </row>
    <row r="12" spans="2:17" x14ac:dyDescent="0.2">
      <c r="B12" s="33" t="s">
        <v>18</v>
      </c>
      <c r="C12" s="32">
        <v>7.75</v>
      </c>
      <c r="E12" s="21" t="s">
        <v>6</v>
      </c>
      <c r="F12" s="29">
        <f t="shared" ref="F12:P12" si="7">SUM(F25,F38,F51,F64,F77)</f>
        <v>-705835.00000000035</v>
      </c>
      <c r="G12" s="29">
        <f t="shared" si="7"/>
        <v>-705835.00000000035</v>
      </c>
      <c r="H12" s="29">
        <f t="shared" si="7"/>
        <v>-705835.00000000035</v>
      </c>
      <c r="I12" s="29">
        <f t="shared" si="7"/>
        <v>-386391.77043375664</v>
      </c>
      <c r="J12" s="30">
        <f t="shared" si="7"/>
        <v>0</v>
      </c>
      <c r="K12" s="30">
        <f t="shared" si="7"/>
        <v>-705835.00000000035</v>
      </c>
      <c r="L12" s="30">
        <f t="shared" si="7"/>
        <v>-705835.00000000035</v>
      </c>
      <c r="M12" s="30">
        <f t="shared" si="7"/>
        <v>-421485.87681808753</v>
      </c>
      <c r="N12" s="30">
        <f t="shared" si="7"/>
        <v>0</v>
      </c>
      <c r="O12" s="30">
        <f t="shared" si="7"/>
        <v>0</v>
      </c>
      <c r="P12" s="30">
        <f t="shared" si="7"/>
        <v>0</v>
      </c>
      <c r="Q12" s="31"/>
    </row>
    <row r="13" spans="2:17" x14ac:dyDescent="0.2">
      <c r="B13" s="33" t="s">
        <v>20</v>
      </c>
      <c r="C13" s="32">
        <v>8.5</v>
      </c>
      <c r="E13" s="82" t="s">
        <v>138</v>
      </c>
      <c r="F13" s="83">
        <f t="shared" ref="F13:P13" si="8">SUM(F26,F39,F52,F65,F78)</f>
        <v>-705835.00000000035</v>
      </c>
      <c r="G13" s="83">
        <f t="shared" si="8"/>
        <v>-162885.00000000038</v>
      </c>
      <c r="H13" s="83">
        <f t="shared" si="8"/>
        <v>-139914.00000000038</v>
      </c>
      <c r="I13" s="83">
        <f t="shared" si="8"/>
        <v>203189.35956624334</v>
      </c>
      <c r="J13" s="84">
        <f t="shared" si="8"/>
        <v>1129471.7993999999</v>
      </c>
      <c r="K13" s="84">
        <f t="shared" si="8"/>
        <v>469603.4533819994</v>
      </c>
      <c r="L13" s="84">
        <f t="shared" si="8"/>
        <v>516949.10698345944</v>
      </c>
      <c r="M13" s="84">
        <f t="shared" si="8"/>
        <v>850064.25337487611</v>
      </c>
      <c r="N13" s="84">
        <f t="shared" si="8"/>
        <v>1321779.1340987526</v>
      </c>
      <c r="O13" s="84">
        <f t="shared" si="8"/>
        <v>1373515.0081217149</v>
      </c>
      <c r="P13" s="84">
        <f t="shared" si="8"/>
        <v>1426802.9583653666</v>
      </c>
      <c r="Q13" s="85"/>
    </row>
    <row r="14" spans="2:17" x14ac:dyDescent="0.2">
      <c r="B14" s="33" t="s">
        <v>13</v>
      </c>
      <c r="C14" s="32">
        <v>6.75</v>
      </c>
    </row>
    <row r="15" spans="2:17" x14ac:dyDescent="0.2">
      <c r="B15" s="33" t="s">
        <v>22</v>
      </c>
      <c r="C15" s="32">
        <v>9.75</v>
      </c>
      <c r="E15" s="199" t="s">
        <v>18</v>
      </c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1"/>
    </row>
    <row r="16" spans="2:17" x14ac:dyDescent="0.2">
      <c r="B16" s="35" t="s">
        <v>23</v>
      </c>
      <c r="C16" s="118">
        <v>9.25</v>
      </c>
      <c r="E16" s="143" t="s">
        <v>85</v>
      </c>
      <c r="F16" s="197" t="s">
        <v>74</v>
      </c>
      <c r="G16" s="197"/>
      <c r="H16" s="197"/>
      <c r="I16" s="197"/>
      <c r="J16" s="198" t="s">
        <v>75</v>
      </c>
      <c r="K16" s="198"/>
      <c r="L16" s="198"/>
      <c r="M16" s="198"/>
      <c r="N16" s="198"/>
      <c r="O16" s="198"/>
      <c r="P16" s="198"/>
      <c r="Q16" s="198"/>
    </row>
    <row r="17" spans="2:17" x14ac:dyDescent="0.2">
      <c r="E17" s="21" t="s">
        <v>58</v>
      </c>
      <c r="F17" s="91" t="s">
        <v>83</v>
      </c>
      <c r="G17" s="76">
        <v>1</v>
      </c>
      <c r="H17" s="76">
        <v>2</v>
      </c>
      <c r="I17" s="77">
        <v>3</v>
      </c>
      <c r="J17" s="78">
        <v>4</v>
      </c>
      <c r="K17" s="79">
        <v>5</v>
      </c>
      <c r="L17" s="79">
        <v>6</v>
      </c>
      <c r="M17" s="79">
        <v>7</v>
      </c>
      <c r="N17" s="79">
        <v>8</v>
      </c>
      <c r="O17" s="79">
        <v>9</v>
      </c>
      <c r="P17" s="79">
        <v>10</v>
      </c>
      <c r="Q17" s="80">
        <v>11</v>
      </c>
    </row>
    <row r="18" spans="2:17" x14ac:dyDescent="0.2">
      <c r="C18" s="5"/>
      <c r="E18" s="21" t="s">
        <v>78</v>
      </c>
      <c r="F18" s="29">
        <f>Cost!K25</f>
        <v>0</v>
      </c>
      <c r="G18" s="29">
        <f>Cost!L25</f>
        <v>10000</v>
      </c>
      <c r="H18" s="29">
        <f>Cost!M25</f>
        <v>10000</v>
      </c>
      <c r="I18" s="29">
        <f>Cost!N25</f>
        <v>10000</v>
      </c>
      <c r="J18" s="30">
        <f>Cost!O25</f>
        <v>10000</v>
      </c>
      <c r="K18" s="30">
        <f>Cost!P25</f>
        <v>10000</v>
      </c>
      <c r="L18" s="30">
        <f>Cost!Q25</f>
        <v>10000</v>
      </c>
      <c r="M18" s="30">
        <f>Cost!R25</f>
        <v>10000</v>
      </c>
      <c r="N18" s="30">
        <f>Cost!S25</f>
        <v>10000</v>
      </c>
      <c r="O18" s="30">
        <f>Cost!T25</f>
        <v>10000</v>
      </c>
      <c r="P18" s="30">
        <f>Cost!U25</f>
        <v>10000</v>
      </c>
      <c r="Q18" s="31">
        <f>Cost!V25</f>
        <v>10000</v>
      </c>
    </row>
    <row r="19" spans="2:17" x14ac:dyDescent="0.2">
      <c r="C19" s="9"/>
      <c r="E19" s="21" t="s">
        <v>0</v>
      </c>
      <c r="F19" s="29">
        <f>$C12*F18*(1+$C$3)^0</f>
        <v>0</v>
      </c>
      <c r="G19" s="29">
        <f t="shared" ref="G19:Q19" si="9">$C$12*G18*(1+$C$3)^F17</f>
        <v>77500</v>
      </c>
      <c r="H19" s="29">
        <f t="shared" si="9"/>
        <v>79825</v>
      </c>
      <c r="I19" s="29">
        <f t="shared" si="9"/>
        <v>82219.75</v>
      </c>
      <c r="J19" s="30">
        <f t="shared" si="9"/>
        <v>84686.342499999999</v>
      </c>
      <c r="K19" s="30">
        <f t="shared" si="9"/>
        <v>87226.932774999994</v>
      </c>
      <c r="L19" s="30">
        <f t="shared" si="9"/>
        <v>89843.740758249987</v>
      </c>
      <c r="M19" s="30">
        <f t="shared" si="9"/>
        <v>92539.052980997498</v>
      </c>
      <c r="N19" s="30">
        <f t="shared" si="9"/>
        <v>95315.224570427425</v>
      </c>
      <c r="O19" s="30">
        <f t="shared" si="9"/>
        <v>98174.681307540232</v>
      </c>
      <c r="P19" s="30">
        <f t="shared" si="9"/>
        <v>101119.92174676644</v>
      </c>
      <c r="Q19" s="31">
        <f t="shared" si="9"/>
        <v>104153.51939916944</v>
      </c>
    </row>
    <row r="20" spans="2:17" x14ac:dyDescent="0.2">
      <c r="E20" s="21" t="s">
        <v>1</v>
      </c>
      <c r="F20" s="29">
        <f t="shared" ref="F20:Q20" si="10">-$C$4*F19</f>
        <v>0</v>
      </c>
      <c r="G20" s="29">
        <f t="shared" si="10"/>
        <v>-3875</v>
      </c>
      <c r="H20" s="29">
        <f t="shared" si="10"/>
        <v>-3991.25</v>
      </c>
      <c r="I20" s="29">
        <f t="shared" si="10"/>
        <v>-4110.9875000000002</v>
      </c>
      <c r="J20" s="30">
        <f t="shared" si="10"/>
        <v>-4234.3171250000005</v>
      </c>
      <c r="K20" s="30">
        <f t="shared" si="10"/>
        <v>-4361.3466387500002</v>
      </c>
      <c r="L20" s="30">
        <f t="shared" si="10"/>
        <v>-4492.1870379124994</v>
      </c>
      <c r="M20" s="30">
        <f t="shared" si="10"/>
        <v>-4626.9526490498747</v>
      </c>
      <c r="N20" s="30">
        <f t="shared" si="10"/>
        <v>-4765.7612285213718</v>
      </c>
      <c r="O20" s="30">
        <f t="shared" si="10"/>
        <v>-4908.7340653770116</v>
      </c>
      <c r="P20" s="30">
        <f t="shared" si="10"/>
        <v>-5055.9960873383225</v>
      </c>
      <c r="Q20" s="31">
        <f t="shared" si="10"/>
        <v>-5207.6759699584727</v>
      </c>
    </row>
    <row r="21" spans="2:17" x14ac:dyDescent="0.2">
      <c r="B21" s="1"/>
      <c r="C21" s="3"/>
      <c r="E21" s="21" t="s">
        <v>2</v>
      </c>
      <c r="F21" s="29">
        <f>SUM(F19,F20,)</f>
        <v>0</v>
      </c>
      <c r="G21" s="29">
        <f t="shared" ref="G21:Q21" si="11">SUM(G19,G20,)</f>
        <v>73625</v>
      </c>
      <c r="H21" s="29">
        <f t="shared" si="11"/>
        <v>75833.75</v>
      </c>
      <c r="I21" s="29">
        <f t="shared" si="11"/>
        <v>78108.762499999997</v>
      </c>
      <c r="J21" s="30">
        <f t="shared" si="11"/>
        <v>80452.025374999997</v>
      </c>
      <c r="K21" s="30">
        <f t="shared" si="11"/>
        <v>82865.58613625</v>
      </c>
      <c r="L21" s="30">
        <f t="shared" si="11"/>
        <v>85351.553720337484</v>
      </c>
      <c r="M21" s="30">
        <f t="shared" si="11"/>
        <v>87912.100331947629</v>
      </c>
      <c r="N21" s="30">
        <f t="shared" si="11"/>
        <v>90549.463341906056</v>
      </c>
      <c r="O21" s="30">
        <f t="shared" si="11"/>
        <v>93265.947242163224</v>
      </c>
      <c r="P21" s="30">
        <f t="shared" si="11"/>
        <v>96063.925659428118</v>
      </c>
      <c r="Q21" s="31">
        <f t="shared" si="11"/>
        <v>98945.843429210974</v>
      </c>
    </row>
    <row r="22" spans="2:17" x14ac:dyDescent="0.2">
      <c r="B22" s="1"/>
      <c r="E22" s="21" t="s">
        <v>3</v>
      </c>
      <c r="F22" s="29">
        <f>-$C$5*F18</f>
        <v>0</v>
      </c>
      <c r="G22" s="29">
        <f t="shared" ref="G22:Q22" si="12">-$C$5*G18</f>
        <v>-12500</v>
      </c>
      <c r="H22" s="29">
        <f t="shared" si="12"/>
        <v>-12500</v>
      </c>
      <c r="I22" s="29">
        <f t="shared" si="12"/>
        <v>-12500</v>
      </c>
      <c r="J22" s="30">
        <f t="shared" si="12"/>
        <v>-12500</v>
      </c>
      <c r="K22" s="30">
        <f t="shared" si="12"/>
        <v>-12500</v>
      </c>
      <c r="L22" s="30">
        <f t="shared" si="12"/>
        <v>-12500</v>
      </c>
      <c r="M22" s="30">
        <f t="shared" si="12"/>
        <v>-12500</v>
      </c>
      <c r="N22" s="30">
        <f t="shared" si="12"/>
        <v>-12500</v>
      </c>
      <c r="O22" s="30">
        <f t="shared" si="12"/>
        <v>-12500</v>
      </c>
      <c r="P22" s="30">
        <f t="shared" si="12"/>
        <v>-12500</v>
      </c>
      <c r="Q22" s="31">
        <f t="shared" si="12"/>
        <v>-12500</v>
      </c>
    </row>
    <row r="23" spans="2:17" x14ac:dyDescent="0.2">
      <c r="B23" s="1"/>
      <c r="E23" s="21" t="s">
        <v>4</v>
      </c>
      <c r="F23" s="29">
        <f>-$C$6*F18</f>
        <v>0</v>
      </c>
      <c r="G23" s="29">
        <f t="shared" ref="G23:Q23" si="13">-$C$6*G18</f>
        <v>-10000</v>
      </c>
      <c r="H23" s="29">
        <f t="shared" si="13"/>
        <v>-10000</v>
      </c>
      <c r="I23" s="29">
        <f t="shared" si="13"/>
        <v>-10000</v>
      </c>
      <c r="J23" s="30">
        <f t="shared" si="13"/>
        <v>-10000</v>
      </c>
      <c r="K23" s="30">
        <f t="shared" si="13"/>
        <v>-10000</v>
      </c>
      <c r="L23" s="30">
        <f t="shared" si="13"/>
        <v>-10000</v>
      </c>
      <c r="M23" s="30">
        <f t="shared" si="13"/>
        <v>-10000</v>
      </c>
      <c r="N23" s="30">
        <f t="shared" si="13"/>
        <v>-10000</v>
      </c>
      <c r="O23" s="30">
        <f t="shared" si="13"/>
        <v>-10000</v>
      </c>
      <c r="P23" s="30">
        <f t="shared" si="13"/>
        <v>-10000</v>
      </c>
      <c r="Q23" s="31">
        <f t="shared" si="13"/>
        <v>-10000</v>
      </c>
    </row>
    <row r="24" spans="2:17" x14ac:dyDescent="0.2">
      <c r="E24" s="21" t="s">
        <v>5</v>
      </c>
      <c r="F24" s="29">
        <f>SUM(F21:F23)</f>
        <v>0</v>
      </c>
      <c r="G24" s="29">
        <f t="shared" ref="G24:Q24" si="14">SUM(G21:G23)</f>
        <v>51125</v>
      </c>
      <c r="H24" s="29">
        <f t="shared" si="14"/>
        <v>53333.75</v>
      </c>
      <c r="I24" s="29">
        <f t="shared" si="14"/>
        <v>55608.762499999997</v>
      </c>
      <c r="J24" s="30">
        <f t="shared" si="14"/>
        <v>57952.025374999997</v>
      </c>
      <c r="K24" s="30">
        <f t="shared" si="14"/>
        <v>60365.58613625</v>
      </c>
      <c r="L24" s="30">
        <f t="shared" si="14"/>
        <v>62851.553720337484</v>
      </c>
      <c r="M24" s="30">
        <f t="shared" si="14"/>
        <v>65412.100331947629</v>
      </c>
      <c r="N24" s="30">
        <f t="shared" si="14"/>
        <v>68049.463341906056</v>
      </c>
      <c r="O24" s="30">
        <f t="shared" si="14"/>
        <v>70765.947242163224</v>
      </c>
      <c r="P24" s="30">
        <f>SUM(P21:P23)</f>
        <v>73563.925659428118</v>
      </c>
      <c r="Q24" s="31">
        <f t="shared" si="14"/>
        <v>76445.843429210974</v>
      </c>
    </row>
    <row r="25" spans="2:17" x14ac:dyDescent="0.2">
      <c r="E25" s="21" t="s">
        <v>6</v>
      </c>
      <c r="F25" s="29">
        <f>-Financing!$L$11*Financing!O17</f>
        <v>-52905.643128665935</v>
      </c>
      <c r="G25" s="29">
        <f>-Financing!$L$11*Financing!P17</f>
        <v>-52905.643128665935</v>
      </c>
      <c r="H25" s="29">
        <f>-Financing!$L$11*Financing!Q17</f>
        <v>-52905.643128665935</v>
      </c>
      <c r="I25" s="29">
        <f>-Financing!$L$11*Financing!R17</f>
        <v>-28961.875104552382</v>
      </c>
      <c r="J25" s="30">
        <f>-Financing!$L$11*Financing!S17</f>
        <v>0</v>
      </c>
      <c r="K25" s="30">
        <f>-Financing!$L$11*Financing!T17</f>
        <v>-52905.643128665935</v>
      </c>
      <c r="L25" s="30">
        <f>-Financing!$L$11*Financing!U17</f>
        <v>-52905.643128665935</v>
      </c>
      <c r="M25" s="30">
        <f>-Financing!$L$11*Financing!V17</f>
        <v>-31592.342945179222</v>
      </c>
      <c r="N25" s="30">
        <f>-Financing!$L$11*Financing!W17</f>
        <v>0</v>
      </c>
      <c r="O25" s="30">
        <f>-Financing!$L$11*Financing!X17</f>
        <v>0</v>
      </c>
      <c r="P25" s="30">
        <f>-Financing!$L$11*Financing!Y17</f>
        <v>0</v>
      </c>
      <c r="Q25" s="31"/>
    </row>
    <row r="26" spans="2:17" x14ac:dyDescent="0.2">
      <c r="E26" s="82" t="s">
        <v>138</v>
      </c>
      <c r="F26" s="83">
        <f>SUM(F24:F25)</f>
        <v>-52905.643128665935</v>
      </c>
      <c r="G26" s="83">
        <f>SUM(G24:G25)</f>
        <v>-1780.6431286659354</v>
      </c>
      <c r="H26" s="83">
        <f t="shared" ref="H26:P26" si="15">SUM(H24:H25)</f>
        <v>428.10687133406464</v>
      </c>
      <c r="I26" s="83">
        <f t="shared" si="15"/>
        <v>26646.887395447615</v>
      </c>
      <c r="J26" s="84">
        <f t="shared" si="15"/>
        <v>57952.025374999997</v>
      </c>
      <c r="K26" s="84">
        <f t="shared" si="15"/>
        <v>7459.9430075840646</v>
      </c>
      <c r="L26" s="84">
        <f t="shared" si="15"/>
        <v>9945.9105916715489</v>
      </c>
      <c r="M26" s="84">
        <f t="shared" si="15"/>
        <v>33819.757386768411</v>
      </c>
      <c r="N26" s="84">
        <f t="shared" si="15"/>
        <v>68049.463341906056</v>
      </c>
      <c r="O26" s="84">
        <f t="shared" si="15"/>
        <v>70765.947242163224</v>
      </c>
      <c r="P26" s="84">
        <f t="shared" si="15"/>
        <v>73563.925659428118</v>
      </c>
      <c r="Q26" s="85"/>
    </row>
    <row r="28" spans="2:17" x14ac:dyDescent="0.2">
      <c r="E28" s="178" t="s">
        <v>20</v>
      </c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79"/>
    </row>
    <row r="29" spans="2:17" x14ac:dyDescent="0.2">
      <c r="E29" s="143" t="s">
        <v>85</v>
      </c>
      <c r="F29" s="197" t="s">
        <v>74</v>
      </c>
      <c r="G29" s="197"/>
      <c r="H29" s="197"/>
      <c r="I29" s="197"/>
      <c r="J29" s="198" t="s">
        <v>75</v>
      </c>
      <c r="K29" s="198"/>
      <c r="L29" s="198"/>
      <c r="M29" s="198"/>
      <c r="N29" s="198"/>
      <c r="O29" s="198"/>
      <c r="P29" s="198"/>
      <c r="Q29" s="198"/>
    </row>
    <row r="30" spans="2:17" x14ac:dyDescent="0.2">
      <c r="E30" s="21" t="s">
        <v>58</v>
      </c>
      <c r="F30" s="91" t="s">
        <v>83</v>
      </c>
      <c r="G30" s="76">
        <v>1</v>
      </c>
      <c r="H30" s="76">
        <v>2</v>
      </c>
      <c r="I30" s="77">
        <v>3</v>
      </c>
      <c r="J30" s="78">
        <v>4</v>
      </c>
      <c r="K30" s="79">
        <v>5</v>
      </c>
      <c r="L30" s="79">
        <v>6</v>
      </c>
      <c r="M30" s="79">
        <v>7</v>
      </c>
      <c r="N30" s="79">
        <v>8</v>
      </c>
      <c r="O30" s="79">
        <v>9</v>
      </c>
      <c r="P30" s="79">
        <v>10</v>
      </c>
      <c r="Q30" s="80">
        <v>11</v>
      </c>
    </row>
    <row r="31" spans="2:17" x14ac:dyDescent="0.2">
      <c r="E31" s="21" t="s">
        <v>78</v>
      </c>
      <c r="F31" s="29">
        <f>Cost!K26</f>
        <v>0</v>
      </c>
      <c r="G31" s="29">
        <f>Cost!L26</f>
        <v>33000</v>
      </c>
      <c r="H31" s="29">
        <f>Cost!M26</f>
        <v>33000</v>
      </c>
      <c r="I31" s="29">
        <f>Cost!N26</f>
        <v>33000</v>
      </c>
      <c r="J31" s="30">
        <f>Cost!O26</f>
        <v>33000</v>
      </c>
      <c r="K31" s="30">
        <f>Cost!P26</f>
        <v>33000</v>
      </c>
      <c r="L31" s="30">
        <f>Cost!Q26</f>
        <v>33000</v>
      </c>
      <c r="M31" s="30">
        <f>Cost!R26</f>
        <v>33000</v>
      </c>
      <c r="N31" s="30">
        <f>Cost!S26</f>
        <v>33000</v>
      </c>
      <c r="O31" s="30">
        <f>Cost!T26</f>
        <v>33000</v>
      </c>
      <c r="P31" s="30">
        <f>Cost!U26</f>
        <v>33000</v>
      </c>
      <c r="Q31" s="31">
        <f>Cost!V26</f>
        <v>33000</v>
      </c>
    </row>
    <row r="32" spans="2:17" x14ac:dyDescent="0.2">
      <c r="E32" s="21" t="s">
        <v>0</v>
      </c>
      <c r="F32" s="29">
        <f>$C$13*F31*(1+$C$3)^0</f>
        <v>0</v>
      </c>
      <c r="G32" s="29">
        <f t="shared" ref="G32:Q32" si="16">$C$13*G31*(1+$C$3)^F30</f>
        <v>280500</v>
      </c>
      <c r="H32" s="29">
        <f t="shared" si="16"/>
        <v>288915</v>
      </c>
      <c r="I32" s="29">
        <f t="shared" si="16"/>
        <v>297582.45</v>
      </c>
      <c r="J32" s="30">
        <f t="shared" si="16"/>
        <v>306509.92349999998</v>
      </c>
      <c r="K32" s="30">
        <f t="shared" si="16"/>
        <v>315705.22120499995</v>
      </c>
      <c r="L32" s="30">
        <f t="shared" si="16"/>
        <v>325176.37784114998</v>
      </c>
      <c r="M32" s="30">
        <f t="shared" si="16"/>
        <v>334931.66917638446</v>
      </c>
      <c r="N32" s="30">
        <f t="shared" si="16"/>
        <v>344979.61925167602</v>
      </c>
      <c r="O32" s="30">
        <f t="shared" si="16"/>
        <v>355329.00782922626</v>
      </c>
      <c r="P32" s="30">
        <f t="shared" si="16"/>
        <v>365988.87806410308</v>
      </c>
      <c r="Q32" s="31">
        <f t="shared" si="16"/>
        <v>376968.54440602614</v>
      </c>
    </row>
    <row r="33" spans="5:17" x14ac:dyDescent="0.2">
      <c r="E33" s="21" t="s">
        <v>1</v>
      </c>
      <c r="F33" s="29">
        <f t="shared" ref="F33:Q33" si="17">-$C$4*F32</f>
        <v>0</v>
      </c>
      <c r="G33" s="29">
        <f t="shared" si="17"/>
        <v>-14025</v>
      </c>
      <c r="H33" s="29">
        <f t="shared" si="17"/>
        <v>-14445.75</v>
      </c>
      <c r="I33" s="29">
        <f t="shared" si="17"/>
        <v>-14879.122500000001</v>
      </c>
      <c r="J33" s="30">
        <f t="shared" si="17"/>
        <v>-15325.496175</v>
      </c>
      <c r="K33" s="30">
        <f t="shared" si="17"/>
        <v>-15785.261060249999</v>
      </c>
      <c r="L33" s="30">
        <f t="shared" si="17"/>
        <v>-16258.818892057499</v>
      </c>
      <c r="M33" s="30">
        <f t="shared" si="17"/>
        <v>-16746.583458819223</v>
      </c>
      <c r="N33" s="30">
        <f t="shared" si="17"/>
        <v>-17248.980962583802</v>
      </c>
      <c r="O33" s="30">
        <f t="shared" si="17"/>
        <v>-17766.450391461312</v>
      </c>
      <c r="P33" s="30">
        <f t="shared" si="17"/>
        <v>-18299.443903205156</v>
      </c>
      <c r="Q33" s="31">
        <f t="shared" si="17"/>
        <v>-18848.427220301306</v>
      </c>
    </row>
    <row r="34" spans="5:17" x14ac:dyDescent="0.2">
      <c r="E34" s="21" t="s">
        <v>2</v>
      </c>
      <c r="F34" s="29">
        <f>SUM(F32,F33,)</f>
        <v>0</v>
      </c>
      <c r="G34" s="29">
        <f t="shared" ref="G34:Q34" si="18">SUM(G32,G33,)</f>
        <v>266475</v>
      </c>
      <c r="H34" s="29">
        <f t="shared" si="18"/>
        <v>274469.25</v>
      </c>
      <c r="I34" s="29">
        <f t="shared" si="18"/>
        <v>282703.32750000001</v>
      </c>
      <c r="J34" s="30">
        <f t="shared" si="18"/>
        <v>291184.427325</v>
      </c>
      <c r="K34" s="30">
        <f t="shared" si="18"/>
        <v>299919.96014474996</v>
      </c>
      <c r="L34" s="30">
        <f t="shared" si="18"/>
        <v>308917.55894909246</v>
      </c>
      <c r="M34" s="30">
        <f t="shared" si="18"/>
        <v>318185.08571756526</v>
      </c>
      <c r="N34" s="30">
        <f t="shared" si="18"/>
        <v>327730.63828909223</v>
      </c>
      <c r="O34" s="30">
        <f t="shared" si="18"/>
        <v>337562.55743776495</v>
      </c>
      <c r="P34" s="30">
        <f t="shared" si="18"/>
        <v>347689.43416089792</v>
      </c>
      <c r="Q34" s="31">
        <f t="shared" si="18"/>
        <v>358120.11718572484</v>
      </c>
    </row>
    <row r="35" spans="5:17" x14ac:dyDescent="0.2">
      <c r="E35" s="21" t="s">
        <v>3</v>
      </c>
      <c r="F35" s="29">
        <f t="shared" ref="F35:Q35" si="19">-$C$5*F31</f>
        <v>0</v>
      </c>
      <c r="G35" s="29">
        <f t="shared" si="19"/>
        <v>-41250</v>
      </c>
      <c r="H35" s="29">
        <f t="shared" si="19"/>
        <v>-41250</v>
      </c>
      <c r="I35" s="29">
        <f t="shared" si="19"/>
        <v>-41250</v>
      </c>
      <c r="J35" s="30">
        <f t="shared" si="19"/>
        <v>-41250</v>
      </c>
      <c r="K35" s="30">
        <f t="shared" si="19"/>
        <v>-41250</v>
      </c>
      <c r="L35" s="30">
        <f t="shared" si="19"/>
        <v>-41250</v>
      </c>
      <c r="M35" s="30">
        <f t="shared" si="19"/>
        <v>-41250</v>
      </c>
      <c r="N35" s="30">
        <f t="shared" si="19"/>
        <v>-41250</v>
      </c>
      <c r="O35" s="30">
        <f t="shared" si="19"/>
        <v>-41250</v>
      </c>
      <c r="P35" s="30">
        <f t="shared" si="19"/>
        <v>-41250</v>
      </c>
      <c r="Q35" s="31">
        <f t="shared" si="19"/>
        <v>-41250</v>
      </c>
    </row>
    <row r="36" spans="5:17" x14ac:dyDescent="0.2">
      <c r="E36" s="21" t="s">
        <v>4</v>
      </c>
      <c r="F36" s="29">
        <f t="shared" ref="F36:Q36" si="20">-$C$6*F31</f>
        <v>0</v>
      </c>
      <c r="G36" s="29">
        <f t="shared" si="20"/>
        <v>-33000</v>
      </c>
      <c r="H36" s="29">
        <f t="shared" si="20"/>
        <v>-33000</v>
      </c>
      <c r="I36" s="29">
        <f t="shared" si="20"/>
        <v>-33000</v>
      </c>
      <c r="J36" s="30">
        <f t="shared" si="20"/>
        <v>-33000</v>
      </c>
      <c r="K36" s="30">
        <f t="shared" si="20"/>
        <v>-33000</v>
      </c>
      <c r="L36" s="30">
        <f t="shared" si="20"/>
        <v>-33000</v>
      </c>
      <c r="M36" s="30">
        <f t="shared" si="20"/>
        <v>-33000</v>
      </c>
      <c r="N36" s="30">
        <f t="shared" si="20"/>
        <v>-33000</v>
      </c>
      <c r="O36" s="30">
        <f t="shared" si="20"/>
        <v>-33000</v>
      </c>
      <c r="P36" s="30">
        <f t="shared" si="20"/>
        <v>-33000</v>
      </c>
      <c r="Q36" s="31">
        <f t="shared" si="20"/>
        <v>-33000</v>
      </c>
    </row>
    <row r="37" spans="5:17" x14ac:dyDescent="0.2">
      <c r="E37" s="21" t="s">
        <v>5</v>
      </c>
      <c r="F37" s="29">
        <f>SUM(F34:F36)</f>
        <v>0</v>
      </c>
      <c r="G37" s="29">
        <f t="shared" ref="G37" si="21">SUM(G34:G36)</f>
        <v>192225</v>
      </c>
      <c r="H37" s="29">
        <f t="shared" ref="H37" si="22">SUM(H34:H36)</f>
        <v>200219.25</v>
      </c>
      <c r="I37" s="29">
        <f t="shared" ref="I37" si="23">SUM(I34:I36)</f>
        <v>208453.32750000001</v>
      </c>
      <c r="J37" s="30">
        <f t="shared" ref="J37" si="24">SUM(J34:J36)</f>
        <v>216934.427325</v>
      </c>
      <c r="K37" s="30">
        <f t="shared" ref="K37" si="25">SUM(K34:K36)</f>
        <v>225669.96014474996</v>
      </c>
      <c r="L37" s="30">
        <f t="shared" ref="L37" si="26">SUM(L34:L36)</f>
        <v>234667.55894909246</v>
      </c>
      <c r="M37" s="30">
        <f t="shared" ref="M37" si="27">SUM(M34:M36)</f>
        <v>243935.08571756526</v>
      </c>
      <c r="N37" s="30">
        <f t="shared" ref="N37" si="28">SUM(N34:N36)</f>
        <v>253480.63828909223</v>
      </c>
      <c r="O37" s="30">
        <f t="shared" ref="O37" si="29">SUM(O34:O36)</f>
        <v>263312.55743776495</v>
      </c>
      <c r="P37" s="30">
        <f>SUM(P34:P36)</f>
        <v>273439.43416089792</v>
      </c>
      <c r="Q37" s="31">
        <f t="shared" ref="Q37" si="30">SUM(Q34:Q36)</f>
        <v>283870.11718572484</v>
      </c>
    </row>
    <row r="38" spans="5:17" x14ac:dyDescent="0.2">
      <c r="E38" s="21" t="s">
        <v>6</v>
      </c>
      <c r="F38" s="29">
        <f>-Financing!$L$12*Financing!O17</f>
        <v>-143228.04816869882</v>
      </c>
      <c r="G38" s="29">
        <f>-Financing!$L$12*Financing!P17</f>
        <v>-143228.04816869882</v>
      </c>
      <c r="H38" s="29">
        <f>-Financing!$L$12*Financing!Q17</f>
        <v>-143228.04816869882</v>
      </c>
      <c r="I38" s="29">
        <f>-Financing!$L$12*Financing!R17</f>
        <v>-78406.623513533457</v>
      </c>
      <c r="J38" s="30">
        <f>-Financing!$L$12*Financing!S17</f>
        <v>0</v>
      </c>
      <c r="K38" s="30">
        <f>-Financing!$L$12*Financing!T17</f>
        <v>-143228.04816869882</v>
      </c>
      <c r="L38" s="30">
        <f>-Financing!$L$12*Financing!U17</f>
        <v>-143228.04816869882</v>
      </c>
      <c r="M38" s="30">
        <f>-Financing!$L$12*Financing!V17</f>
        <v>-85527.920076685448</v>
      </c>
      <c r="N38" s="30">
        <f>-Financing!$L$12*Financing!W17</f>
        <v>0</v>
      </c>
      <c r="O38" s="30">
        <f>-Financing!$L$12*Financing!X17</f>
        <v>0</v>
      </c>
      <c r="P38" s="30">
        <f>-Financing!$L$12*Financing!Y17</f>
        <v>0</v>
      </c>
      <c r="Q38" s="31"/>
    </row>
    <row r="39" spans="5:17" x14ac:dyDescent="0.2">
      <c r="E39" s="82" t="s">
        <v>138</v>
      </c>
      <c r="F39" s="83">
        <f>SUM(F37:F38)</f>
        <v>-143228.04816869882</v>
      </c>
      <c r="G39" s="83">
        <f t="shared" ref="G39" si="31">SUM(G37:G38)</f>
        <v>48996.951831301179</v>
      </c>
      <c r="H39" s="83">
        <f t="shared" ref="H39" si="32">SUM(H37:H38)</f>
        <v>56991.201831301179</v>
      </c>
      <c r="I39" s="83">
        <f t="shared" ref="I39" si="33">SUM(I37:I38)</f>
        <v>130046.70398646656</v>
      </c>
      <c r="J39" s="84">
        <f t="shared" ref="J39" si="34">SUM(J37:J38)</f>
        <v>216934.427325</v>
      </c>
      <c r="K39" s="84">
        <f t="shared" ref="K39" si="35">SUM(K37:K38)</f>
        <v>82441.911976051138</v>
      </c>
      <c r="L39" s="84">
        <f t="shared" ref="L39" si="36">SUM(L37:L38)</f>
        <v>91439.510780393641</v>
      </c>
      <c r="M39" s="84">
        <f t="shared" ref="M39" si="37">SUM(M37:M38)</f>
        <v>158407.16564087983</v>
      </c>
      <c r="N39" s="84">
        <f t="shared" ref="N39" si="38">SUM(N37:N38)</f>
        <v>253480.63828909223</v>
      </c>
      <c r="O39" s="84">
        <f t="shared" ref="O39" si="39">SUM(O37:O38)</f>
        <v>263312.55743776495</v>
      </c>
      <c r="P39" s="84">
        <f t="shared" ref="P39" si="40">SUM(P37:P38)</f>
        <v>273439.43416089792</v>
      </c>
      <c r="Q39" s="85"/>
    </row>
    <row r="41" spans="5:17" x14ac:dyDescent="0.2">
      <c r="E41" s="178" t="s">
        <v>13</v>
      </c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79"/>
    </row>
    <row r="42" spans="5:17" x14ac:dyDescent="0.2">
      <c r="E42" s="143" t="s">
        <v>85</v>
      </c>
      <c r="F42" s="197" t="s">
        <v>74</v>
      </c>
      <c r="G42" s="197"/>
      <c r="H42" s="197"/>
      <c r="I42" s="197"/>
      <c r="J42" s="198" t="s">
        <v>75</v>
      </c>
      <c r="K42" s="198"/>
      <c r="L42" s="198"/>
      <c r="M42" s="198"/>
      <c r="N42" s="198"/>
      <c r="O42" s="198"/>
      <c r="P42" s="198"/>
      <c r="Q42" s="198"/>
    </row>
    <row r="43" spans="5:17" x14ac:dyDescent="0.2">
      <c r="E43" s="21" t="s">
        <v>58</v>
      </c>
      <c r="F43" s="91" t="s">
        <v>83</v>
      </c>
      <c r="G43" s="76">
        <v>1</v>
      </c>
      <c r="H43" s="76">
        <v>2</v>
      </c>
      <c r="I43" s="77">
        <v>3</v>
      </c>
      <c r="J43" s="78">
        <v>4</v>
      </c>
      <c r="K43" s="79">
        <v>5</v>
      </c>
      <c r="L43" s="79">
        <v>6</v>
      </c>
      <c r="M43" s="79">
        <v>7</v>
      </c>
      <c r="N43" s="79">
        <v>8</v>
      </c>
      <c r="O43" s="79">
        <v>9</v>
      </c>
      <c r="P43" s="79">
        <v>10</v>
      </c>
      <c r="Q43" s="80">
        <v>11</v>
      </c>
    </row>
    <row r="44" spans="5:17" x14ac:dyDescent="0.2">
      <c r="E44" s="21" t="s">
        <v>78</v>
      </c>
      <c r="F44" s="29">
        <f>Cost!K27</f>
        <v>0</v>
      </c>
      <c r="G44" s="29">
        <f>Cost!L27</f>
        <v>30000</v>
      </c>
      <c r="H44" s="29">
        <f>Cost!M27</f>
        <v>30000</v>
      </c>
      <c r="I44" s="29">
        <f>Cost!N27</f>
        <v>30000</v>
      </c>
      <c r="J44" s="30">
        <f>Cost!O27</f>
        <v>60000</v>
      </c>
      <c r="K44" s="30">
        <f>Cost!P27</f>
        <v>60000</v>
      </c>
      <c r="L44" s="30">
        <f>Cost!Q27</f>
        <v>60000</v>
      </c>
      <c r="M44" s="30">
        <f>Cost!R27</f>
        <v>60000</v>
      </c>
      <c r="N44" s="30">
        <f>Cost!S27</f>
        <v>60000</v>
      </c>
      <c r="O44" s="30">
        <f>Cost!T27</f>
        <v>60000</v>
      </c>
      <c r="P44" s="30">
        <f>Cost!U27</f>
        <v>60000</v>
      </c>
      <c r="Q44" s="31">
        <f>Cost!V27</f>
        <v>60000</v>
      </c>
    </row>
    <row r="45" spans="5:17" x14ac:dyDescent="0.2">
      <c r="E45" s="21" t="s">
        <v>0</v>
      </c>
      <c r="F45" s="29">
        <f>$C$14*F44*(1+$C$3)^0</f>
        <v>0</v>
      </c>
      <c r="G45" s="29">
        <f t="shared" ref="G45:Q45" si="41">$C$14*G44*(1+$C$3)^F43</f>
        <v>202500</v>
      </c>
      <c r="H45" s="29">
        <f t="shared" si="41"/>
        <v>208575</v>
      </c>
      <c r="I45" s="29">
        <f t="shared" si="41"/>
        <v>214832.25</v>
      </c>
      <c r="J45" s="30">
        <f t="shared" si="41"/>
        <v>442554.435</v>
      </c>
      <c r="K45" s="30">
        <f t="shared" si="41"/>
        <v>455831.06804999994</v>
      </c>
      <c r="L45" s="30">
        <f t="shared" si="41"/>
        <v>469506.00009149994</v>
      </c>
      <c r="M45" s="30">
        <f t="shared" si="41"/>
        <v>483591.18009424495</v>
      </c>
      <c r="N45" s="30">
        <f t="shared" si="41"/>
        <v>498098.91549707233</v>
      </c>
      <c r="O45" s="30">
        <f t="shared" si="41"/>
        <v>513041.88296198443</v>
      </c>
      <c r="P45" s="30">
        <f t="shared" si="41"/>
        <v>528433.13945084403</v>
      </c>
      <c r="Q45" s="31">
        <f t="shared" si="41"/>
        <v>544286.13363436935</v>
      </c>
    </row>
    <row r="46" spans="5:17" x14ac:dyDescent="0.2">
      <c r="E46" s="21" t="s">
        <v>1</v>
      </c>
      <c r="F46" s="29">
        <f t="shared" ref="F46:Q46" si="42">-$C$4*F45</f>
        <v>0</v>
      </c>
      <c r="G46" s="29">
        <f t="shared" si="42"/>
        <v>-10125</v>
      </c>
      <c r="H46" s="29">
        <f t="shared" si="42"/>
        <v>-10428.75</v>
      </c>
      <c r="I46" s="29">
        <f t="shared" si="42"/>
        <v>-10741.612500000001</v>
      </c>
      <c r="J46" s="30">
        <f t="shared" si="42"/>
        <v>-22127.721750000001</v>
      </c>
      <c r="K46" s="30">
        <f t="shared" si="42"/>
        <v>-22791.553402499998</v>
      </c>
      <c r="L46" s="30">
        <f t="shared" si="42"/>
        <v>-23475.300004574998</v>
      </c>
      <c r="M46" s="30">
        <f t="shared" si="42"/>
        <v>-24179.55900471225</v>
      </c>
      <c r="N46" s="30">
        <f t="shared" si="42"/>
        <v>-24904.945774853619</v>
      </c>
      <c r="O46" s="30">
        <f t="shared" si="42"/>
        <v>-25652.094148099222</v>
      </c>
      <c r="P46" s="30">
        <f t="shared" si="42"/>
        <v>-26421.656972542201</v>
      </c>
      <c r="Q46" s="31">
        <f t="shared" si="42"/>
        <v>-27214.30668171847</v>
      </c>
    </row>
    <row r="47" spans="5:17" x14ac:dyDescent="0.2">
      <c r="E47" s="21" t="s">
        <v>2</v>
      </c>
      <c r="F47" s="29">
        <f>SUM(F45,F46,)</f>
        <v>0</v>
      </c>
      <c r="G47" s="29">
        <f t="shared" ref="G47:Q47" si="43">SUM(G45,G46,)</f>
        <v>192375</v>
      </c>
      <c r="H47" s="29">
        <f t="shared" si="43"/>
        <v>198146.25</v>
      </c>
      <c r="I47" s="29">
        <f t="shared" si="43"/>
        <v>204090.63750000001</v>
      </c>
      <c r="J47" s="30">
        <f t="shared" si="43"/>
        <v>420426.71324999997</v>
      </c>
      <c r="K47" s="30">
        <f t="shared" si="43"/>
        <v>433039.51464749995</v>
      </c>
      <c r="L47" s="30">
        <f t="shared" si="43"/>
        <v>446030.70008692495</v>
      </c>
      <c r="M47" s="30">
        <f t="shared" si="43"/>
        <v>459411.62108953268</v>
      </c>
      <c r="N47" s="30">
        <f t="shared" si="43"/>
        <v>473193.9697222187</v>
      </c>
      <c r="O47" s="30">
        <f t="shared" si="43"/>
        <v>487389.78881388518</v>
      </c>
      <c r="P47" s="30">
        <f t="shared" si="43"/>
        <v>502011.48247830186</v>
      </c>
      <c r="Q47" s="31">
        <f t="shared" si="43"/>
        <v>517071.82695265091</v>
      </c>
    </row>
    <row r="48" spans="5:17" x14ac:dyDescent="0.2">
      <c r="E48" s="21" t="s">
        <v>3</v>
      </c>
      <c r="F48" s="29">
        <f t="shared" ref="F48:Q48" si="44">-$C$5*F44</f>
        <v>0</v>
      </c>
      <c r="G48" s="29">
        <f t="shared" si="44"/>
        <v>-37500</v>
      </c>
      <c r="H48" s="29">
        <f t="shared" si="44"/>
        <v>-37500</v>
      </c>
      <c r="I48" s="29">
        <f t="shared" si="44"/>
        <v>-37500</v>
      </c>
      <c r="J48" s="30">
        <f t="shared" si="44"/>
        <v>-75000</v>
      </c>
      <c r="K48" s="30">
        <f t="shared" si="44"/>
        <v>-75000</v>
      </c>
      <c r="L48" s="30">
        <f t="shared" si="44"/>
        <v>-75000</v>
      </c>
      <c r="M48" s="30">
        <f t="shared" si="44"/>
        <v>-75000</v>
      </c>
      <c r="N48" s="30">
        <f t="shared" si="44"/>
        <v>-75000</v>
      </c>
      <c r="O48" s="30">
        <f t="shared" si="44"/>
        <v>-75000</v>
      </c>
      <c r="P48" s="30">
        <f t="shared" si="44"/>
        <v>-75000</v>
      </c>
      <c r="Q48" s="31">
        <f t="shared" si="44"/>
        <v>-75000</v>
      </c>
    </row>
    <row r="49" spans="5:17" x14ac:dyDescent="0.2">
      <c r="E49" s="21" t="s">
        <v>4</v>
      </c>
      <c r="F49" s="29">
        <f t="shared" ref="F49:Q49" si="45">-$C$6*F44</f>
        <v>0</v>
      </c>
      <c r="G49" s="29">
        <f t="shared" si="45"/>
        <v>-30000</v>
      </c>
      <c r="H49" s="29">
        <f t="shared" si="45"/>
        <v>-30000</v>
      </c>
      <c r="I49" s="29">
        <f t="shared" si="45"/>
        <v>-30000</v>
      </c>
      <c r="J49" s="30">
        <f t="shared" si="45"/>
        <v>-60000</v>
      </c>
      <c r="K49" s="30">
        <f t="shared" si="45"/>
        <v>-60000</v>
      </c>
      <c r="L49" s="30">
        <f t="shared" si="45"/>
        <v>-60000</v>
      </c>
      <c r="M49" s="30">
        <f t="shared" si="45"/>
        <v>-60000</v>
      </c>
      <c r="N49" s="30">
        <f t="shared" si="45"/>
        <v>-60000</v>
      </c>
      <c r="O49" s="30">
        <f t="shared" si="45"/>
        <v>-60000</v>
      </c>
      <c r="P49" s="30">
        <f t="shared" si="45"/>
        <v>-60000</v>
      </c>
      <c r="Q49" s="31">
        <f t="shared" si="45"/>
        <v>-60000</v>
      </c>
    </row>
    <row r="50" spans="5:17" x14ac:dyDescent="0.2">
      <c r="E50" s="21" t="s">
        <v>5</v>
      </c>
      <c r="F50" s="29">
        <f>SUM(F47:F49)</f>
        <v>0</v>
      </c>
      <c r="G50" s="29">
        <f t="shared" ref="G50" si="46">SUM(G47:G49)</f>
        <v>124875</v>
      </c>
      <c r="H50" s="29">
        <f t="shared" ref="H50" si="47">SUM(H47:H49)</f>
        <v>130646.25</v>
      </c>
      <c r="I50" s="29">
        <f t="shared" ref="I50" si="48">SUM(I47:I49)</f>
        <v>136590.63750000001</v>
      </c>
      <c r="J50" s="30">
        <f t="shared" ref="J50" si="49">SUM(J47:J49)</f>
        <v>285426.71324999997</v>
      </c>
      <c r="K50" s="30">
        <f t="shared" ref="K50" si="50">SUM(K47:K49)</f>
        <v>298039.51464749995</v>
      </c>
      <c r="L50" s="30">
        <f t="shared" ref="L50" si="51">SUM(L47:L49)</f>
        <v>311030.70008692495</v>
      </c>
      <c r="M50" s="30">
        <f t="shared" ref="M50" si="52">SUM(M47:M49)</f>
        <v>324411.62108953268</v>
      </c>
      <c r="N50" s="30">
        <f t="shared" ref="N50" si="53">SUM(N47:N49)</f>
        <v>338193.9697222187</v>
      </c>
      <c r="O50" s="30">
        <f t="shared" ref="O50" si="54">SUM(O47:O49)</f>
        <v>352389.78881388518</v>
      </c>
      <c r="P50" s="30">
        <f>SUM(P47:P49)</f>
        <v>367011.48247830186</v>
      </c>
      <c r="Q50" s="31">
        <f t="shared" ref="Q50" si="55">SUM(Q47:Q49)</f>
        <v>382071.82695265091</v>
      </c>
    </row>
    <row r="51" spans="5:17" x14ac:dyDescent="0.2">
      <c r="E51" s="21" t="s">
        <v>6</v>
      </c>
      <c r="F51" s="29">
        <f>-Financing!$L$13*Financing!O17</f>
        <v>-206878.06514321864</v>
      </c>
      <c r="G51" s="29">
        <f>-Financing!$L$13*Financing!P17</f>
        <v>-206878.06514321864</v>
      </c>
      <c r="H51" s="29">
        <f>-Financing!$L$13*Financing!Q17</f>
        <v>-206878.06514321864</v>
      </c>
      <c r="I51" s="29">
        <f>-Financing!$L$13*Financing!R17</f>
        <v>-113250.23816415769</v>
      </c>
      <c r="J51" s="30">
        <f>-Financing!$L$13*Financing!S17</f>
        <v>0</v>
      </c>
      <c r="K51" s="30">
        <f>-Financing!$L$13*Financing!T17</f>
        <v>-206878.06514321864</v>
      </c>
      <c r="L51" s="30">
        <f>-Financing!$L$13*Financing!U17</f>
        <v>-206878.06514321864</v>
      </c>
      <c r="M51" s="30">
        <f>-Financing!$L$13*Financing!V17</f>
        <v>-123536.21268613613</v>
      </c>
      <c r="N51" s="30">
        <f>-Financing!$L$13*Financing!W17</f>
        <v>0</v>
      </c>
      <c r="O51" s="30">
        <f>-Financing!$L$13*Financing!X17</f>
        <v>0</v>
      </c>
      <c r="P51" s="30">
        <f>-Financing!$L$13*Financing!Y17</f>
        <v>0</v>
      </c>
      <c r="Q51" s="31"/>
    </row>
    <row r="52" spans="5:17" x14ac:dyDescent="0.2">
      <c r="E52" s="82" t="s">
        <v>138</v>
      </c>
      <c r="F52" s="83">
        <f>SUM(F50:F51)</f>
        <v>-206878.06514321864</v>
      </c>
      <c r="G52" s="83">
        <f t="shared" ref="G52" si="56">SUM(G50:G51)</f>
        <v>-82003.065143218642</v>
      </c>
      <c r="H52" s="83">
        <f t="shared" ref="H52" si="57">SUM(H50:H51)</f>
        <v>-76231.815143218642</v>
      </c>
      <c r="I52" s="83">
        <f t="shared" ref="I52" si="58">SUM(I50:I51)</f>
        <v>23340.399335842318</v>
      </c>
      <c r="J52" s="84">
        <f t="shared" ref="J52" si="59">SUM(J50:J51)</f>
        <v>285426.71324999997</v>
      </c>
      <c r="K52" s="84">
        <f t="shared" ref="K52" si="60">SUM(K50:K51)</f>
        <v>91161.449504281307</v>
      </c>
      <c r="L52" s="84">
        <f t="shared" ref="L52" si="61">SUM(L50:L51)</f>
        <v>104152.6349437063</v>
      </c>
      <c r="M52" s="84">
        <f t="shared" ref="M52" si="62">SUM(M50:M51)</f>
        <v>200875.40840339655</v>
      </c>
      <c r="N52" s="84">
        <f t="shared" ref="N52" si="63">SUM(N50:N51)</f>
        <v>338193.9697222187</v>
      </c>
      <c r="O52" s="84">
        <f t="shared" ref="O52" si="64">SUM(O50:O51)</f>
        <v>352389.78881388518</v>
      </c>
      <c r="P52" s="84">
        <f t="shared" ref="P52" si="65">SUM(P50:P51)</f>
        <v>367011.48247830186</v>
      </c>
      <c r="Q52" s="85"/>
    </row>
    <row r="54" spans="5:17" x14ac:dyDescent="0.2">
      <c r="E54" s="178" t="s">
        <v>22</v>
      </c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79"/>
    </row>
    <row r="55" spans="5:17" x14ac:dyDescent="0.2">
      <c r="E55" s="143" t="s">
        <v>85</v>
      </c>
      <c r="F55" s="197" t="s">
        <v>74</v>
      </c>
      <c r="G55" s="197"/>
      <c r="H55" s="197"/>
      <c r="I55" s="197"/>
      <c r="J55" s="198" t="s">
        <v>75</v>
      </c>
      <c r="K55" s="198"/>
      <c r="L55" s="198"/>
      <c r="M55" s="198"/>
      <c r="N55" s="198"/>
      <c r="O55" s="198"/>
      <c r="P55" s="198"/>
      <c r="Q55" s="198"/>
    </row>
    <row r="56" spans="5:17" x14ac:dyDescent="0.2">
      <c r="E56" s="21" t="s">
        <v>58</v>
      </c>
      <c r="F56" s="91" t="s">
        <v>83</v>
      </c>
      <c r="G56" s="76">
        <v>1</v>
      </c>
      <c r="H56" s="76">
        <v>2</v>
      </c>
      <c r="I56" s="77">
        <v>3</v>
      </c>
      <c r="J56" s="78">
        <v>4</v>
      </c>
      <c r="K56" s="79">
        <v>5</v>
      </c>
      <c r="L56" s="79">
        <v>6</v>
      </c>
      <c r="M56" s="79">
        <v>7</v>
      </c>
      <c r="N56" s="79">
        <v>8</v>
      </c>
      <c r="O56" s="79">
        <v>9</v>
      </c>
      <c r="P56" s="79">
        <v>10</v>
      </c>
      <c r="Q56" s="80">
        <v>11</v>
      </c>
    </row>
    <row r="57" spans="5:17" x14ac:dyDescent="0.2">
      <c r="E57" s="21" t="s">
        <v>78</v>
      </c>
      <c r="F57" s="29">
        <f>Cost!K28</f>
        <v>0</v>
      </c>
      <c r="G57" s="29">
        <f>Cost!L28</f>
        <v>10000</v>
      </c>
      <c r="H57" s="29">
        <f>Cost!M28</f>
        <v>10000</v>
      </c>
      <c r="I57" s="29">
        <f>Cost!N28</f>
        <v>10000</v>
      </c>
      <c r="J57" s="30">
        <f>Cost!O28</f>
        <v>20000</v>
      </c>
      <c r="K57" s="30">
        <f>Cost!P28</f>
        <v>20000</v>
      </c>
      <c r="L57" s="30">
        <f>Cost!Q28</f>
        <v>20000</v>
      </c>
      <c r="M57" s="30">
        <f>Cost!R28</f>
        <v>20000</v>
      </c>
      <c r="N57" s="30">
        <f>Cost!S28</f>
        <v>20000</v>
      </c>
      <c r="O57" s="30">
        <f>Cost!T28</f>
        <v>20000</v>
      </c>
      <c r="P57" s="30">
        <f>Cost!U28</f>
        <v>20000</v>
      </c>
      <c r="Q57" s="31">
        <f>Cost!V28</f>
        <v>20000</v>
      </c>
    </row>
    <row r="58" spans="5:17" x14ac:dyDescent="0.2">
      <c r="E58" s="21" t="s">
        <v>0</v>
      </c>
      <c r="F58" s="29">
        <f>$C$15*F57*(1+$C$3)^0</f>
        <v>0</v>
      </c>
      <c r="G58" s="29">
        <f t="shared" ref="G58:Q58" si="66">$C$15*G57*(1+$C$3)^F56</f>
        <v>97500</v>
      </c>
      <c r="H58" s="29">
        <f t="shared" si="66"/>
        <v>100425</v>
      </c>
      <c r="I58" s="29">
        <f t="shared" si="66"/>
        <v>103437.75</v>
      </c>
      <c r="J58" s="30">
        <f t="shared" si="66"/>
        <v>213081.76500000001</v>
      </c>
      <c r="K58" s="30">
        <f t="shared" si="66"/>
        <v>219474.21794999999</v>
      </c>
      <c r="L58" s="30">
        <f t="shared" si="66"/>
        <v>226058.44448849998</v>
      </c>
      <c r="M58" s="30">
        <f t="shared" si="66"/>
        <v>232840.19782315497</v>
      </c>
      <c r="N58" s="30">
        <f t="shared" si="66"/>
        <v>239825.40375784965</v>
      </c>
      <c r="O58" s="30">
        <f t="shared" si="66"/>
        <v>247020.1658705851</v>
      </c>
      <c r="P58" s="30">
        <f t="shared" si="66"/>
        <v>254430.77084670268</v>
      </c>
      <c r="Q58" s="31">
        <f t="shared" si="66"/>
        <v>262063.69397210373</v>
      </c>
    </row>
    <row r="59" spans="5:17" x14ac:dyDescent="0.2">
      <c r="E59" s="21" t="s">
        <v>1</v>
      </c>
      <c r="F59" s="29">
        <f t="shared" ref="F59:Q59" si="67">-$C$4*F58</f>
        <v>0</v>
      </c>
      <c r="G59" s="29">
        <f t="shared" si="67"/>
        <v>-4875</v>
      </c>
      <c r="H59" s="29">
        <f t="shared" si="67"/>
        <v>-5021.25</v>
      </c>
      <c r="I59" s="29">
        <f t="shared" si="67"/>
        <v>-5171.8875000000007</v>
      </c>
      <c r="J59" s="30">
        <f t="shared" si="67"/>
        <v>-10654.088250000001</v>
      </c>
      <c r="K59" s="30">
        <f t="shared" si="67"/>
        <v>-10973.710897500001</v>
      </c>
      <c r="L59" s="30">
        <f t="shared" si="67"/>
        <v>-11302.922224425</v>
      </c>
      <c r="M59" s="30">
        <f t="shared" si="67"/>
        <v>-11642.00989115775</v>
      </c>
      <c r="N59" s="30">
        <f t="shared" si="67"/>
        <v>-11991.270187892484</v>
      </c>
      <c r="O59" s="30">
        <f t="shared" si="67"/>
        <v>-12351.008293529256</v>
      </c>
      <c r="P59" s="30">
        <f t="shared" si="67"/>
        <v>-12721.538542335134</v>
      </c>
      <c r="Q59" s="31">
        <f t="shared" si="67"/>
        <v>-13103.184698605188</v>
      </c>
    </row>
    <row r="60" spans="5:17" x14ac:dyDescent="0.2">
      <c r="E60" s="21" t="s">
        <v>2</v>
      </c>
      <c r="F60" s="29">
        <f>SUM(F58,F59,)</f>
        <v>0</v>
      </c>
      <c r="G60" s="29">
        <f t="shared" ref="G60" si="68">SUM(G58,G59,)</f>
        <v>92625</v>
      </c>
      <c r="H60" s="29">
        <f t="shared" ref="H60" si="69">SUM(H58,H59,)</f>
        <v>95403.75</v>
      </c>
      <c r="I60" s="29">
        <f t="shared" ref="I60" si="70">SUM(I58,I59,)</f>
        <v>98265.862500000003</v>
      </c>
      <c r="J60" s="30">
        <f t="shared" ref="J60" si="71">SUM(J58,J59,)</f>
        <v>202427.67675000001</v>
      </c>
      <c r="K60" s="30">
        <f t="shared" ref="K60" si="72">SUM(K58,K59,)</f>
        <v>208500.50705249998</v>
      </c>
      <c r="L60" s="30">
        <f t="shared" ref="L60" si="73">SUM(L58,L59,)</f>
        <v>214755.52226407497</v>
      </c>
      <c r="M60" s="30">
        <f t="shared" ref="M60" si="74">SUM(M58,M59,)</f>
        <v>221198.18793199724</v>
      </c>
      <c r="N60" s="30">
        <f t="shared" ref="N60" si="75">SUM(N58,N59,)</f>
        <v>227834.13356995716</v>
      </c>
      <c r="O60" s="30">
        <f t="shared" ref="O60" si="76">SUM(O58,O59,)</f>
        <v>234669.15757705586</v>
      </c>
      <c r="P60" s="30">
        <f t="shared" ref="P60" si="77">SUM(P58,P59,)</f>
        <v>241709.23230436756</v>
      </c>
      <c r="Q60" s="31">
        <f t="shared" ref="Q60" si="78">SUM(Q58,Q59,)</f>
        <v>248960.50927349855</v>
      </c>
    </row>
    <row r="61" spans="5:17" x14ac:dyDescent="0.2">
      <c r="E61" s="21" t="s">
        <v>3</v>
      </c>
      <c r="F61" s="29">
        <f t="shared" ref="F61:Q61" si="79">-$C$5*F57</f>
        <v>0</v>
      </c>
      <c r="G61" s="29">
        <f t="shared" si="79"/>
        <v>-12500</v>
      </c>
      <c r="H61" s="29">
        <f t="shared" si="79"/>
        <v>-12500</v>
      </c>
      <c r="I61" s="29">
        <f t="shared" si="79"/>
        <v>-12500</v>
      </c>
      <c r="J61" s="30">
        <f t="shared" si="79"/>
        <v>-25000</v>
      </c>
      <c r="K61" s="30">
        <f t="shared" si="79"/>
        <v>-25000</v>
      </c>
      <c r="L61" s="30">
        <f t="shared" si="79"/>
        <v>-25000</v>
      </c>
      <c r="M61" s="30">
        <f t="shared" si="79"/>
        <v>-25000</v>
      </c>
      <c r="N61" s="30">
        <f t="shared" si="79"/>
        <v>-25000</v>
      </c>
      <c r="O61" s="30">
        <f t="shared" si="79"/>
        <v>-25000</v>
      </c>
      <c r="P61" s="30">
        <f t="shared" si="79"/>
        <v>-25000</v>
      </c>
      <c r="Q61" s="31">
        <f t="shared" si="79"/>
        <v>-25000</v>
      </c>
    </row>
    <row r="62" spans="5:17" x14ac:dyDescent="0.2">
      <c r="E62" s="21" t="s">
        <v>4</v>
      </c>
      <c r="F62" s="29">
        <f t="shared" ref="F62:Q62" si="80">-$C$6*F57</f>
        <v>0</v>
      </c>
      <c r="G62" s="29">
        <f t="shared" si="80"/>
        <v>-10000</v>
      </c>
      <c r="H62" s="29">
        <f t="shared" si="80"/>
        <v>-10000</v>
      </c>
      <c r="I62" s="29">
        <f t="shared" si="80"/>
        <v>-10000</v>
      </c>
      <c r="J62" s="30">
        <f t="shared" si="80"/>
        <v>-20000</v>
      </c>
      <c r="K62" s="30">
        <f t="shared" si="80"/>
        <v>-20000</v>
      </c>
      <c r="L62" s="30">
        <f t="shared" si="80"/>
        <v>-20000</v>
      </c>
      <c r="M62" s="30">
        <f t="shared" si="80"/>
        <v>-20000</v>
      </c>
      <c r="N62" s="30">
        <f t="shared" si="80"/>
        <v>-20000</v>
      </c>
      <c r="O62" s="30">
        <f t="shared" si="80"/>
        <v>-20000</v>
      </c>
      <c r="P62" s="30">
        <f t="shared" si="80"/>
        <v>-20000</v>
      </c>
      <c r="Q62" s="31">
        <f t="shared" si="80"/>
        <v>-20000</v>
      </c>
    </row>
    <row r="63" spans="5:17" x14ac:dyDescent="0.2">
      <c r="E63" s="21" t="s">
        <v>5</v>
      </c>
      <c r="F63" s="29">
        <f>SUM(F60:F62)</f>
        <v>0</v>
      </c>
      <c r="G63" s="29">
        <f t="shared" ref="G63" si="81">SUM(G60:G62)</f>
        <v>70125</v>
      </c>
      <c r="H63" s="29">
        <f t="shared" ref="H63" si="82">SUM(H60:H62)</f>
        <v>72903.75</v>
      </c>
      <c r="I63" s="29">
        <f t="shared" ref="I63" si="83">SUM(I60:I62)</f>
        <v>75765.862500000003</v>
      </c>
      <c r="J63" s="30">
        <f t="shared" ref="J63" si="84">SUM(J60:J62)</f>
        <v>157427.67675000001</v>
      </c>
      <c r="K63" s="30">
        <f t="shared" ref="K63" si="85">SUM(K60:K62)</f>
        <v>163500.50705249998</v>
      </c>
      <c r="L63" s="30">
        <f t="shared" ref="L63" si="86">SUM(L60:L62)</f>
        <v>169755.52226407497</v>
      </c>
      <c r="M63" s="30">
        <f t="shared" ref="M63" si="87">SUM(M60:M62)</f>
        <v>176198.18793199724</v>
      </c>
      <c r="N63" s="30">
        <f t="shared" ref="N63" si="88">SUM(N60:N62)</f>
        <v>182834.13356995716</v>
      </c>
      <c r="O63" s="30">
        <f t="shared" ref="O63" si="89">SUM(O60:O62)</f>
        <v>189669.15757705586</v>
      </c>
      <c r="P63" s="30">
        <f>SUM(P60:P62)</f>
        <v>196709.23230436756</v>
      </c>
      <c r="Q63" s="31">
        <f t="shared" ref="Q63" si="90">SUM(Q60:Q62)</f>
        <v>203960.50927349855</v>
      </c>
    </row>
    <row r="64" spans="5:17" x14ac:dyDescent="0.2">
      <c r="E64" s="21" t="s">
        <v>6</v>
      </c>
      <c r="F64" s="29">
        <f>-Financing!$L$14*Financing!O17</f>
        <v>-99885.41756224008</v>
      </c>
      <c r="G64" s="29">
        <f>-Financing!$L$14*Financing!P17</f>
        <v>-99885.41756224008</v>
      </c>
      <c r="H64" s="29">
        <f>-Financing!$L$14*Financing!Q17</f>
        <v>-99885.41756224008</v>
      </c>
      <c r="I64" s="29">
        <f>-Financing!$L$14*Financing!R17</f>
        <v>-54679.781156203608</v>
      </c>
      <c r="J64" s="30">
        <f>-Financing!$L$14*Financing!S17</f>
        <v>0</v>
      </c>
      <c r="K64" s="30">
        <f>-Financing!$L$14*Financing!T17</f>
        <v>-99885.41756224008</v>
      </c>
      <c r="L64" s="30">
        <f>-Financing!$L$14*Financing!U17</f>
        <v>-99885.41756224008</v>
      </c>
      <c r="M64" s="30">
        <f>-Financing!$L$14*Financing!V17</f>
        <v>-59646.082728345209</v>
      </c>
      <c r="N64" s="30">
        <f>-Financing!$L$14*Financing!W17</f>
        <v>0</v>
      </c>
      <c r="O64" s="30">
        <f>-Financing!$L$14*Financing!X17</f>
        <v>0</v>
      </c>
      <c r="P64" s="30">
        <f>-Financing!$L$14*Financing!Y17</f>
        <v>0</v>
      </c>
      <c r="Q64" s="31"/>
    </row>
    <row r="65" spans="5:17" x14ac:dyDescent="0.2">
      <c r="E65" s="82" t="s">
        <v>138</v>
      </c>
      <c r="F65" s="83">
        <f>SUM(F63:F64)</f>
        <v>-99885.41756224008</v>
      </c>
      <c r="G65" s="83">
        <f t="shared" ref="G65" si="91">SUM(G63:G64)</f>
        <v>-29760.41756224008</v>
      </c>
      <c r="H65" s="83">
        <f t="shared" ref="H65" si="92">SUM(H63:H64)</f>
        <v>-26981.66756224008</v>
      </c>
      <c r="I65" s="83">
        <f t="shared" ref="I65" si="93">SUM(I63:I64)</f>
        <v>21086.081343796395</v>
      </c>
      <c r="J65" s="84">
        <f t="shared" ref="J65" si="94">SUM(J63:J64)</f>
        <v>157427.67675000001</v>
      </c>
      <c r="K65" s="84">
        <f t="shared" ref="K65" si="95">SUM(K63:K64)</f>
        <v>63615.089490259896</v>
      </c>
      <c r="L65" s="84">
        <f t="shared" ref="L65" si="96">SUM(L63:L64)</f>
        <v>69870.104701834891</v>
      </c>
      <c r="M65" s="84">
        <f t="shared" ref="M65" si="97">SUM(M63:M64)</f>
        <v>116552.10520365203</v>
      </c>
      <c r="N65" s="84">
        <f t="shared" ref="N65" si="98">SUM(N63:N64)</f>
        <v>182834.13356995716</v>
      </c>
      <c r="O65" s="84">
        <f t="shared" ref="O65" si="99">SUM(O63:O64)</f>
        <v>189669.15757705586</v>
      </c>
      <c r="P65" s="84">
        <f t="shared" ref="P65" si="100">SUM(P63:P64)</f>
        <v>196709.23230436756</v>
      </c>
      <c r="Q65" s="85"/>
    </row>
    <row r="67" spans="5:17" x14ac:dyDescent="0.2">
      <c r="E67" s="178" t="s">
        <v>23</v>
      </c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79"/>
    </row>
    <row r="68" spans="5:17" x14ac:dyDescent="0.2">
      <c r="E68" s="143" t="s">
        <v>85</v>
      </c>
      <c r="F68" s="197" t="s">
        <v>74</v>
      </c>
      <c r="G68" s="197"/>
      <c r="H68" s="197"/>
      <c r="I68" s="197"/>
      <c r="J68" s="198" t="s">
        <v>75</v>
      </c>
      <c r="K68" s="198"/>
      <c r="L68" s="198"/>
      <c r="M68" s="198"/>
      <c r="N68" s="198"/>
      <c r="O68" s="198"/>
      <c r="P68" s="198"/>
      <c r="Q68" s="198"/>
    </row>
    <row r="69" spans="5:17" x14ac:dyDescent="0.2">
      <c r="E69" s="21" t="s">
        <v>58</v>
      </c>
      <c r="F69" s="91" t="s">
        <v>83</v>
      </c>
      <c r="G69" s="76">
        <v>1</v>
      </c>
      <c r="H69" s="76">
        <v>2</v>
      </c>
      <c r="I69" s="77">
        <v>3</v>
      </c>
      <c r="J69" s="78">
        <v>4</v>
      </c>
      <c r="K69" s="79">
        <v>5</v>
      </c>
      <c r="L69" s="79">
        <v>6</v>
      </c>
      <c r="M69" s="79">
        <v>7</v>
      </c>
      <c r="N69" s="79">
        <v>8</v>
      </c>
      <c r="O69" s="79">
        <v>9</v>
      </c>
      <c r="P69" s="79">
        <v>10</v>
      </c>
      <c r="Q69" s="80">
        <v>11</v>
      </c>
    </row>
    <row r="70" spans="5:17" x14ac:dyDescent="0.2">
      <c r="E70" s="21" t="s">
        <v>78</v>
      </c>
      <c r="F70" s="29">
        <f>Cost!K29</f>
        <v>0</v>
      </c>
      <c r="G70" s="29">
        <f>Cost!L29</f>
        <v>16000</v>
      </c>
      <c r="H70" s="29">
        <f>Cost!M29</f>
        <v>16000</v>
      </c>
      <c r="I70" s="29">
        <f>Cost!N29</f>
        <v>16000</v>
      </c>
      <c r="J70" s="30">
        <f>Cost!O29</f>
        <v>56000</v>
      </c>
      <c r="K70" s="30">
        <f>Cost!P29</f>
        <v>56000</v>
      </c>
      <c r="L70" s="30">
        <f>Cost!Q29</f>
        <v>56000</v>
      </c>
      <c r="M70" s="30">
        <f>Cost!R29</f>
        <v>56000</v>
      </c>
      <c r="N70" s="30">
        <f>Cost!S29</f>
        <v>56000</v>
      </c>
      <c r="O70" s="30">
        <f>Cost!T29</f>
        <v>56000</v>
      </c>
      <c r="P70" s="30">
        <f>Cost!U29</f>
        <v>56000</v>
      </c>
      <c r="Q70" s="31">
        <f>Cost!V29</f>
        <v>56000</v>
      </c>
    </row>
    <row r="71" spans="5:17" x14ac:dyDescent="0.2">
      <c r="E71" s="21" t="s">
        <v>0</v>
      </c>
      <c r="F71" s="29">
        <f>$C$16*F70*(1+$C$3)^0</f>
        <v>0</v>
      </c>
      <c r="G71" s="29">
        <f t="shared" ref="G71:Q71" si="101">$C$16*G70*(1+$C$3)^F69</f>
        <v>148000</v>
      </c>
      <c r="H71" s="29">
        <f t="shared" si="101"/>
        <v>152440</v>
      </c>
      <c r="I71" s="29">
        <f t="shared" si="101"/>
        <v>157013.19999999998</v>
      </c>
      <c r="J71" s="30">
        <f t="shared" si="101"/>
        <v>566032.58600000001</v>
      </c>
      <c r="K71" s="30">
        <f t="shared" si="101"/>
        <v>583013.56357999996</v>
      </c>
      <c r="L71" s="30">
        <f t="shared" si="101"/>
        <v>600503.97048739996</v>
      </c>
      <c r="M71" s="30">
        <f t="shared" si="101"/>
        <v>618519.08960202197</v>
      </c>
      <c r="N71" s="30">
        <f t="shared" si="101"/>
        <v>637074.66229008266</v>
      </c>
      <c r="O71" s="30">
        <f t="shared" si="101"/>
        <v>656186.90215878503</v>
      </c>
      <c r="P71" s="30">
        <f t="shared" si="101"/>
        <v>675872.50922354858</v>
      </c>
      <c r="Q71" s="31">
        <f t="shared" si="101"/>
        <v>696148.68450025504</v>
      </c>
    </row>
    <row r="72" spans="5:17" x14ac:dyDescent="0.2">
      <c r="E72" s="21" t="s">
        <v>1</v>
      </c>
      <c r="F72" s="29">
        <f t="shared" ref="F72:Q72" si="102">-$C$4*F71</f>
        <v>0</v>
      </c>
      <c r="G72" s="29">
        <f t="shared" si="102"/>
        <v>-7400</v>
      </c>
      <c r="H72" s="29">
        <f t="shared" si="102"/>
        <v>-7622</v>
      </c>
      <c r="I72" s="29">
        <f t="shared" si="102"/>
        <v>-7850.66</v>
      </c>
      <c r="J72" s="30">
        <f t="shared" si="102"/>
        <v>-28301.629300000001</v>
      </c>
      <c r="K72" s="30">
        <f t="shared" si="102"/>
        <v>-29150.678178999999</v>
      </c>
      <c r="L72" s="30">
        <f t="shared" si="102"/>
        <v>-30025.19852437</v>
      </c>
      <c r="M72" s="30">
        <f t="shared" si="102"/>
        <v>-30925.9544801011</v>
      </c>
      <c r="N72" s="30">
        <f t="shared" si="102"/>
        <v>-31853.733114504135</v>
      </c>
      <c r="O72" s="30">
        <f t="shared" si="102"/>
        <v>-32809.345107939254</v>
      </c>
      <c r="P72" s="30">
        <f t="shared" si="102"/>
        <v>-33793.625461177427</v>
      </c>
      <c r="Q72" s="31">
        <f t="shared" si="102"/>
        <v>-34807.434225012752</v>
      </c>
    </row>
    <row r="73" spans="5:17" x14ac:dyDescent="0.2">
      <c r="E73" s="21" t="s">
        <v>2</v>
      </c>
      <c r="F73" s="29">
        <f>SUM(F71,F72,)</f>
        <v>0</v>
      </c>
      <c r="G73" s="29">
        <f t="shared" ref="G73" si="103">SUM(G71,G72,)</f>
        <v>140600</v>
      </c>
      <c r="H73" s="29">
        <f t="shared" ref="H73" si="104">SUM(H71,H72,)</f>
        <v>144818</v>
      </c>
      <c r="I73" s="29">
        <f t="shared" ref="I73" si="105">SUM(I71,I72,)</f>
        <v>149162.53999999998</v>
      </c>
      <c r="J73" s="30">
        <f t="shared" ref="J73" si="106">SUM(J71,J72,)</f>
        <v>537730.95669999998</v>
      </c>
      <c r="K73" s="30">
        <f t="shared" ref="K73" si="107">SUM(K71,K72,)</f>
        <v>553862.88540099992</v>
      </c>
      <c r="L73" s="30">
        <f t="shared" ref="L73" si="108">SUM(L71,L72,)</f>
        <v>570478.77196302998</v>
      </c>
      <c r="M73" s="30">
        <f t="shared" ref="M73" si="109">SUM(M71,M72,)</f>
        <v>587593.13512192084</v>
      </c>
      <c r="N73" s="30">
        <f t="shared" ref="N73" si="110">SUM(N71,N72,)</f>
        <v>605220.92917557852</v>
      </c>
      <c r="O73" s="30">
        <f t="shared" ref="O73" si="111">SUM(O71,O72,)</f>
        <v>623377.55705084582</v>
      </c>
      <c r="P73" s="30">
        <f t="shared" ref="P73" si="112">SUM(P71,P72,)</f>
        <v>642078.88376237114</v>
      </c>
      <c r="Q73" s="31">
        <f t="shared" ref="Q73" si="113">SUM(Q71,Q72,)</f>
        <v>661341.25027524226</v>
      </c>
    </row>
    <row r="74" spans="5:17" x14ac:dyDescent="0.2">
      <c r="E74" s="21" t="s">
        <v>3</v>
      </c>
      <c r="F74" s="29">
        <f t="shared" ref="F74:Q74" si="114">-$C$5*F70</f>
        <v>0</v>
      </c>
      <c r="G74" s="29">
        <f t="shared" si="114"/>
        <v>-20000</v>
      </c>
      <c r="H74" s="29">
        <f t="shared" si="114"/>
        <v>-20000</v>
      </c>
      <c r="I74" s="29">
        <f t="shared" si="114"/>
        <v>-20000</v>
      </c>
      <c r="J74" s="30">
        <f t="shared" si="114"/>
        <v>-70000</v>
      </c>
      <c r="K74" s="30">
        <f t="shared" si="114"/>
        <v>-70000</v>
      </c>
      <c r="L74" s="30">
        <f t="shared" si="114"/>
        <v>-70000</v>
      </c>
      <c r="M74" s="30">
        <f t="shared" si="114"/>
        <v>-70000</v>
      </c>
      <c r="N74" s="30">
        <f t="shared" si="114"/>
        <v>-70000</v>
      </c>
      <c r="O74" s="30">
        <f t="shared" si="114"/>
        <v>-70000</v>
      </c>
      <c r="P74" s="30">
        <f t="shared" si="114"/>
        <v>-70000</v>
      </c>
      <c r="Q74" s="31">
        <f t="shared" si="114"/>
        <v>-70000</v>
      </c>
    </row>
    <row r="75" spans="5:17" x14ac:dyDescent="0.2">
      <c r="E75" s="21" t="s">
        <v>4</v>
      </c>
      <c r="F75" s="29">
        <f t="shared" ref="F75:Q75" si="115">-$C$6*F70</f>
        <v>0</v>
      </c>
      <c r="G75" s="29">
        <f t="shared" si="115"/>
        <v>-16000</v>
      </c>
      <c r="H75" s="29">
        <f t="shared" si="115"/>
        <v>-16000</v>
      </c>
      <c r="I75" s="29">
        <f t="shared" si="115"/>
        <v>-16000</v>
      </c>
      <c r="J75" s="30">
        <f t="shared" si="115"/>
        <v>-56000</v>
      </c>
      <c r="K75" s="30">
        <f t="shared" si="115"/>
        <v>-56000</v>
      </c>
      <c r="L75" s="30">
        <f t="shared" si="115"/>
        <v>-56000</v>
      </c>
      <c r="M75" s="30">
        <f t="shared" si="115"/>
        <v>-56000</v>
      </c>
      <c r="N75" s="30">
        <f t="shared" si="115"/>
        <v>-56000</v>
      </c>
      <c r="O75" s="30">
        <f t="shared" si="115"/>
        <v>-56000</v>
      </c>
      <c r="P75" s="30">
        <f t="shared" si="115"/>
        <v>-56000</v>
      </c>
      <c r="Q75" s="31">
        <f t="shared" si="115"/>
        <v>-56000</v>
      </c>
    </row>
    <row r="76" spans="5:17" x14ac:dyDescent="0.2">
      <c r="E76" s="21" t="s">
        <v>5</v>
      </c>
      <c r="F76" s="29">
        <f>SUM(F73:F75)</f>
        <v>0</v>
      </c>
      <c r="G76" s="29">
        <f t="shared" ref="G76" si="116">SUM(G73:G75)</f>
        <v>104600</v>
      </c>
      <c r="H76" s="29">
        <f t="shared" ref="H76" si="117">SUM(H73:H75)</f>
        <v>108818</v>
      </c>
      <c r="I76" s="29">
        <f t="shared" ref="I76" si="118">SUM(I73:I75)</f>
        <v>113162.53999999998</v>
      </c>
      <c r="J76" s="30">
        <f t="shared" ref="J76" si="119">SUM(J73:J75)</f>
        <v>411730.95669999998</v>
      </c>
      <c r="K76" s="30">
        <f t="shared" ref="K76" si="120">SUM(K73:K75)</f>
        <v>427862.88540099992</v>
      </c>
      <c r="L76" s="30">
        <f t="shared" ref="L76" si="121">SUM(L73:L75)</f>
        <v>444478.77196302998</v>
      </c>
      <c r="M76" s="30">
        <f t="shared" ref="M76" si="122">SUM(M73:M75)</f>
        <v>461593.13512192084</v>
      </c>
      <c r="N76" s="30">
        <f t="shared" ref="N76" si="123">SUM(N73:N75)</f>
        <v>479220.92917557852</v>
      </c>
      <c r="O76" s="30">
        <f t="shared" ref="O76" si="124">SUM(O73:O75)</f>
        <v>497377.55705084582</v>
      </c>
      <c r="P76" s="30">
        <f>SUM(P73:P75)</f>
        <v>516078.88376237114</v>
      </c>
      <c r="Q76" s="31">
        <f t="shared" ref="Q76" si="125">SUM(Q73:Q75)</f>
        <v>535341.25027524226</v>
      </c>
    </row>
    <row r="77" spans="5:17" x14ac:dyDescent="0.2">
      <c r="E77" s="21" t="s">
        <v>6</v>
      </c>
      <c r="F77" s="29">
        <f>-Financing!$L$15*Financing!O17</f>
        <v>-202937.8259971769</v>
      </c>
      <c r="G77" s="29">
        <f>-Financing!$L$15*Financing!P17</f>
        <v>-202937.8259971769</v>
      </c>
      <c r="H77" s="29">
        <f>-Financing!$L$15*Financing!Q17</f>
        <v>-202937.8259971769</v>
      </c>
      <c r="I77" s="29">
        <f>-Financing!$L$15*Financing!R17</f>
        <v>-111093.25249530951</v>
      </c>
      <c r="J77" s="30">
        <f>-Financing!$L$15*Financing!S17</f>
        <v>0</v>
      </c>
      <c r="K77" s="30">
        <f>-Financing!$L$15*Financing!T17</f>
        <v>-202937.8259971769</v>
      </c>
      <c r="L77" s="30">
        <f>-Financing!$L$15*Financing!U17</f>
        <v>-202937.8259971769</v>
      </c>
      <c r="M77" s="30">
        <f>-Financing!$L$15*Financing!V17</f>
        <v>-121183.31838174154</v>
      </c>
      <c r="N77" s="30">
        <f>-Financing!$L$15*Financing!W17</f>
        <v>0</v>
      </c>
      <c r="O77" s="30">
        <f>-Financing!$L$15*Financing!X17</f>
        <v>0</v>
      </c>
      <c r="P77" s="30">
        <f>-Financing!$L$15*Financing!Y17</f>
        <v>0</v>
      </c>
      <c r="Q77" s="31"/>
    </row>
    <row r="78" spans="5:17" x14ac:dyDescent="0.2">
      <c r="E78" s="82" t="s">
        <v>138</v>
      </c>
      <c r="F78" s="83">
        <f>SUM(F76:F77)</f>
        <v>-202937.8259971769</v>
      </c>
      <c r="G78" s="83">
        <f t="shared" ref="G78" si="126">SUM(G76:G77)</f>
        <v>-98337.8259971769</v>
      </c>
      <c r="H78" s="83">
        <f t="shared" ref="H78" si="127">SUM(H76:H77)</f>
        <v>-94119.8259971769</v>
      </c>
      <c r="I78" s="83">
        <f t="shared" ref="I78" si="128">SUM(I76:I77)</f>
        <v>2069.2875046904664</v>
      </c>
      <c r="J78" s="84">
        <f t="shared" ref="J78" si="129">SUM(J76:J77)</f>
        <v>411730.95669999998</v>
      </c>
      <c r="K78" s="84">
        <f t="shared" ref="K78" si="130">SUM(K76:K77)</f>
        <v>224925.05940382302</v>
      </c>
      <c r="L78" s="84">
        <f t="shared" ref="L78" si="131">SUM(L76:L77)</f>
        <v>241540.94596585308</v>
      </c>
      <c r="M78" s="84">
        <f t="shared" ref="M78" si="132">SUM(M76:M77)</f>
        <v>340409.81674017932</v>
      </c>
      <c r="N78" s="84">
        <f t="shared" ref="N78" si="133">SUM(N76:N77)</f>
        <v>479220.92917557852</v>
      </c>
      <c r="O78" s="84">
        <f t="shared" ref="O78" si="134">SUM(O76:O77)</f>
        <v>497377.55705084582</v>
      </c>
      <c r="P78" s="84">
        <f t="shared" ref="P78" si="135">SUM(P76:P77)</f>
        <v>516078.88376237114</v>
      </c>
      <c r="Q78" s="85"/>
    </row>
  </sheetData>
  <mergeCells count="20">
    <mergeCell ref="F42:I42"/>
    <mergeCell ref="J42:Q42"/>
    <mergeCell ref="F55:I55"/>
    <mergeCell ref="J55:Q55"/>
    <mergeCell ref="F68:I68"/>
    <mergeCell ref="J68:Q68"/>
    <mergeCell ref="E54:Q54"/>
    <mergeCell ref="E67:Q67"/>
    <mergeCell ref="B2:C2"/>
    <mergeCell ref="B11:C11"/>
    <mergeCell ref="E2:Q2"/>
    <mergeCell ref="E15:Q15"/>
    <mergeCell ref="E28:Q28"/>
    <mergeCell ref="E41:Q41"/>
    <mergeCell ref="F3:I3"/>
    <mergeCell ref="J3:Q3"/>
    <mergeCell ref="F16:I16"/>
    <mergeCell ref="J16:Q16"/>
    <mergeCell ref="F29:I29"/>
    <mergeCell ref="J29:Q29"/>
  </mergeCells>
  <phoneticPr fontId="5" type="noConversion"/>
  <pageMargins left="0.7" right="0.7" top="0.75" bottom="0.75" header="0.3" footer="0.3"/>
  <ignoredErrors>
    <ignoredError sqref="F4 F17 F30 F43 F56 F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5C75D-66AA-4006-86EE-1FD3FEBAB502}">
  <dimension ref="B2:P14"/>
  <sheetViews>
    <sheetView showGridLines="0" zoomScaleNormal="100" workbookViewId="0"/>
  </sheetViews>
  <sheetFormatPr defaultRowHeight="12.75" x14ac:dyDescent="0.2"/>
  <cols>
    <col min="1" max="1" width="2.5703125" style="2" customWidth="1"/>
    <col min="2" max="2" width="17.140625" style="2" bestFit="1" customWidth="1"/>
    <col min="3" max="4" width="10.7109375" style="2" bestFit="1" customWidth="1"/>
    <col min="5" max="11" width="10.7109375" style="4" bestFit="1" customWidth="1"/>
    <col min="12" max="13" width="10.28515625" style="4" bestFit="1" customWidth="1"/>
    <col min="14" max="14" width="2.5703125" style="2" customWidth="1"/>
    <col min="15" max="15" width="21" style="2" bestFit="1" customWidth="1"/>
    <col min="16" max="16" width="10.7109375" style="2" bestFit="1" customWidth="1"/>
    <col min="17" max="17" width="2.5703125" style="2" customWidth="1"/>
    <col min="18" max="16384" width="9.140625" style="2"/>
  </cols>
  <sheetData>
    <row r="2" spans="2:16" ht="15" customHeight="1" x14ac:dyDescent="0.2">
      <c r="B2" s="202" t="s">
        <v>69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  <c r="O2" s="202" t="s">
        <v>90</v>
      </c>
      <c r="P2" s="204"/>
    </row>
    <row r="3" spans="2:16" ht="15" customHeight="1" x14ac:dyDescent="0.2">
      <c r="B3" s="81" t="s">
        <v>85</v>
      </c>
      <c r="C3" s="205" t="s">
        <v>74</v>
      </c>
      <c r="D3" s="206"/>
      <c r="E3" s="206"/>
      <c r="F3" s="207"/>
      <c r="G3" s="208" t="s">
        <v>75</v>
      </c>
      <c r="H3" s="209"/>
      <c r="I3" s="209"/>
      <c r="J3" s="209"/>
      <c r="K3" s="209"/>
      <c r="L3" s="209"/>
      <c r="M3" s="210"/>
      <c r="O3" s="12" t="s">
        <v>64</v>
      </c>
      <c r="P3" s="51">
        <f>SUM(C5:M5)</f>
        <v>-3829898.1527481535</v>
      </c>
    </row>
    <row r="4" spans="2:16" x14ac:dyDescent="0.2">
      <c r="B4" s="12" t="s">
        <v>58</v>
      </c>
      <c r="C4" s="91" t="s">
        <v>83</v>
      </c>
      <c r="D4" s="76">
        <v>1</v>
      </c>
      <c r="E4" s="76">
        <v>2</v>
      </c>
      <c r="F4" s="77">
        <v>3</v>
      </c>
      <c r="G4" s="78">
        <v>4</v>
      </c>
      <c r="H4" s="79">
        <v>5</v>
      </c>
      <c r="I4" s="79">
        <v>6</v>
      </c>
      <c r="J4" s="79">
        <v>7</v>
      </c>
      <c r="K4" s="79">
        <v>8</v>
      </c>
      <c r="L4" s="79">
        <v>9</v>
      </c>
      <c r="M4" s="80">
        <v>10</v>
      </c>
      <c r="O4" s="12" t="s">
        <v>65</v>
      </c>
      <c r="P4" s="51">
        <f>SUM(C6:M6)</f>
        <v>6282741.0732924119</v>
      </c>
    </row>
    <row r="5" spans="2:16" x14ac:dyDescent="0.2">
      <c r="B5" s="12" t="s">
        <v>150</v>
      </c>
      <c r="C5" s="29">
        <f>IF(Financing!O11&lt;&gt;"",-Financing!O11,"")</f>
        <v>-2211102.8838519561</v>
      </c>
      <c r="D5" s="29" t="str">
        <f>IF(Financing!P11&lt;&gt;"",-Financing!P11,"")</f>
        <v/>
      </c>
      <c r="E5" s="29" t="str">
        <f>IF(Financing!Q11&lt;&gt;"",-Financing!Q11,"")</f>
        <v/>
      </c>
      <c r="F5" s="29" t="str">
        <f>IF(Financing!R11&lt;&gt;"",-Financing!R11,"")</f>
        <v/>
      </c>
      <c r="G5" s="30">
        <f>IF(Financing!S11&lt;&gt;"",-Financing!S11,"")</f>
        <v>-1618795.2688961977</v>
      </c>
      <c r="H5" s="30" t="str">
        <f>IF(Financing!T11&lt;&gt;"",-Financing!T11,"")</f>
        <v/>
      </c>
      <c r="I5" s="30" t="str">
        <f>IF(Financing!U11&lt;&gt;"",-Financing!U11,"")</f>
        <v/>
      </c>
      <c r="J5" s="30" t="str">
        <f>IF(Financing!V11&lt;&gt;"",-Financing!V11,"")</f>
        <v/>
      </c>
      <c r="K5" s="30" t="str">
        <f>IF(Financing!W11&lt;&gt;"",-Financing!W11,"")</f>
        <v/>
      </c>
      <c r="L5" s="30" t="str">
        <f>IF(Financing!X11&lt;&gt;"",-Financing!X11,"")</f>
        <v/>
      </c>
      <c r="M5" s="31" t="str">
        <f>IF(Financing!Y11&lt;&gt;"",-Financing!Y11,"")</f>
        <v/>
      </c>
      <c r="O5" s="12" t="s">
        <v>12</v>
      </c>
      <c r="P5" s="88">
        <f>IRR(C7:M7)</f>
        <v>7.2128046217627029E-2</v>
      </c>
    </row>
    <row r="6" spans="2:16" x14ac:dyDescent="0.2">
      <c r="B6" s="12" t="s">
        <v>139</v>
      </c>
      <c r="C6" s="29">
        <f>'Pro Forma'!F13</f>
        <v>-705835.00000000035</v>
      </c>
      <c r="D6" s="29">
        <f>'Pro Forma'!G13</f>
        <v>-162885.00000000038</v>
      </c>
      <c r="E6" s="29">
        <f>'Pro Forma'!H13</f>
        <v>-139914.00000000038</v>
      </c>
      <c r="F6" s="29">
        <f>'Pro Forma'!I13</f>
        <v>203189.35956624334</v>
      </c>
      <c r="G6" s="30">
        <f>'Pro Forma'!J13</f>
        <v>1129471.7993999999</v>
      </c>
      <c r="H6" s="30">
        <f>'Pro Forma'!K13</f>
        <v>469603.4533819994</v>
      </c>
      <c r="I6" s="30">
        <f>'Pro Forma'!L13</f>
        <v>516949.10698345944</v>
      </c>
      <c r="J6" s="30">
        <f>'Pro Forma'!M13</f>
        <v>850064.25337487611</v>
      </c>
      <c r="K6" s="30">
        <f>'Pro Forma'!N13</f>
        <v>1321779.1340987526</v>
      </c>
      <c r="L6" s="30">
        <f>'Pro Forma'!O13</f>
        <v>1373515.0081217149</v>
      </c>
      <c r="M6" s="31">
        <f>'Pro Forma'!P13</f>
        <v>1426802.9583653666</v>
      </c>
      <c r="O6" s="12" t="s">
        <v>63</v>
      </c>
      <c r="P6" s="51">
        <f>NPV(0.1,D7:M7)</f>
        <v>2323591.952783714</v>
      </c>
    </row>
    <row r="7" spans="2:16" x14ac:dyDescent="0.2">
      <c r="B7" s="45" t="s">
        <v>151</v>
      </c>
      <c r="C7" s="76">
        <f>SUM(C4:C6)</f>
        <v>-2916937.8838519566</v>
      </c>
      <c r="D7" s="76">
        <f t="shared" ref="D7:M7" si="0">SUM(D4:D6)</f>
        <v>-162884.00000000038</v>
      </c>
      <c r="E7" s="76">
        <f t="shared" si="0"/>
        <v>-139912.00000000038</v>
      </c>
      <c r="F7" s="76">
        <f>SUM(F4:F6)</f>
        <v>203192.35956624334</v>
      </c>
      <c r="G7" s="79">
        <f t="shared" si="0"/>
        <v>-489319.46949619777</v>
      </c>
      <c r="H7" s="79">
        <f t="shared" si="0"/>
        <v>469608.4533819994</v>
      </c>
      <c r="I7" s="79">
        <f t="shared" si="0"/>
        <v>516955.10698345944</v>
      </c>
      <c r="J7" s="79">
        <f t="shared" si="0"/>
        <v>850071.25337487611</v>
      </c>
      <c r="K7" s="79">
        <f t="shared" si="0"/>
        <v>1321787.1340987526</v>
      </c>
      <c r="L7" s="79">
        <f t="shared" si="0"/>
        <v>1373524.0081217149</v>
      </c>
      <c r="M7" s="80">
        <f t="shared" si="0"/>
        <v>1426812.9583653666</v>
      </c>
      <c r="O7" s="15" t="s">
        <v>91</v>
      </c>
      <c r="P7" s="89">
        <f>SUM(C6:M6)/SUM(C5:M5)*-1</f>
        <v>1.6404459916993392</v>
      </c>
    </row>
    <row r="8" spans="2:16" x14ac:dyDescent="0.2">
      <c r="B8" s="45" t="s">
        <v>149</v>
      </c>
      <c r="C8" s="177">
        <f>C7</f>
        <v>-2916937.8838519566</v>
      </c>
      <c r="D8" s="177">
        <f>SUM(C8,D7)</f>
        <v>-3079821.883851957</v>
      </c>
      <c r="E8" s="177">
        <f>SUM(D8,E7)</f>
        <v>-3219733.8838519575</v>
      </c>
      <c r="F8" s="177">
        <f t="shared" ref="F8:M8" si="1">SUM(E8,F7)</f>
        <v>-3016541.5242857141</v>
      </c>
      <c r="G8" s="175">
        <f t="shared" si="1"/>
        <v>-3505860.9937819121</v>
      </c>
      <c r="H8" s="175">
        <f t="shared" si="1"/>
        <v>-3036252.5403999127</v>
      </c>
      <c r="I8" s="175">
        <f t="shared" si="1"/>
        <v>-2519297.4334164532</v>
      </c>
      <c r="J8" s="175">
        <f t="shared" si="1"/>
        <v>-1669226.1800415772</v>
      </c>
      <c r="K8" s="175">
        <f t="shared" si="1"/>
        <v>-347439.04594282457</v>
      </c>
      <c r="L8" s="175">
        <f t="shared" si="1"/>
        <v>1026084.9621788904</v>
      </c>
      <c r="M8" s="176">
        <f t="shared" si="1"/>
        <v>2452897.9205442569</v>
      </c>
    </row>
    <row r="9" spans="2:16" ht="15" customHeight="1" x14ac:dyDescent="0.2">
      <c r="E9" s="2"/>
      <c r="F9" s="2"/>
      <c r="G9" s="2"/>
    </row>
    <row r="10" spans="2:16" x14ac:dyDescent="0.2">
      <c r="E10" s="2"/>
      <c r="F10" s="2"/>
      <c r="G10" s="2"/>
    </row>
    <row r="11" spans="2:16" x14ac:dyDescent="0.2">
      <c r="E11" s="2"/>
      <c r="F11" s="2"/>
      <c r="G11" s="2"/>
    </row>
    <row r="12" spans="2:16" x14ac:dyDescent="0.2">
      <c r="E12" s="2"/>
      <c r="F12" s="2"/>
      <c r="G12" s="2"/>
    </row>
    <row r="13" spans="2:16" x14ac:dyDescent="0.2">
      <c r="E13" s="2"/>
      <c r="F13" s="2"/>
      <c r="G13" s="2"/>
    </row>
    <row r="14" spans="2:16" x14ac:dyDescent="0.2">
      <c r="E14" s="2"/>
      <c r="F14" s="2"/>
      <c r="G14" s="2"/>
    </row>
  </sheetData>
  <mergeCells count="4">
    <mergeCell ref="B2:M2"/>
    <mergeCell ref="O2:P2"/>
    <mergeCell ref="C3:F3"/>
    <mergeCell ref="G3:M3"/>
  </mergeCells>
  <pageMargins left="0.7" right="0.7" top="0.75" bottom="0.75" header="0.3" footer="0.3"/>
  <ignoredErrors>
    <ignoredError sqref="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Cost</vt:lpstr>
      <vt:lpstr>Financing</vt:lpstr>
      <vt:lpstr>Pro Forma</vt:lpstr>
      <vt:lpstr>Equity Repayment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Pollan</dc:creator>
  <cp:lastModifiedBy>Pollan</cp:lastModifiedBy>
  <dcterms:created xsi:type="dcterms:W3CDTF">2020-04-06T00:01:59Z</dcterms:created>
  <dcterms:modified xsi:type="dcterms:W3CDTF">2020-05-04T22:59:46Z</dcterms:modified>
</cp:coreProperties>
</file>